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pivotCache/pivotCacheDefinition37.xml" ContentType="application/vnd.openxmlformats-officedocument.spreadsheetml.pivotCacheDefinition+xml"/>
  <Override PartName="/xl/pivotCache/pivotCacheDefinition38.xml" ContentType="application/vnd.openxmlformats-officedocument.spreadsheetml.pivotCacheDefinition+xml"/>
  <Override PartName="/xl/pivotCache/pivotCacheDefinition39.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2.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3.xml" ContentType="application/vnd.openxmlformats-officedocument.drawingml.chartshapes+xml"/>
  <Override PartName="/xl/charts/chart5.xml" ContentType="application/vnd.openxmlformats-officedocument.drawingml.chart+xml"/>
  <Override PartName="/xl/theme/themeOverride5.xml" ContentType="application/vnd.openxmlformats-officedocument.themeOverride+xml"/>
  <Override PartName="/xl/drawings/drawing4.xml" ContentType="application/vnd.openxmlformats-officedocument.drawingml.chartshapes+xml"/>
  <Override PartName="/xl/charts/chart6.xml" ContentType="application/vnd.openxmlformats-officedocument.drawingml.chart+xml"/>
  <Override PartName="/xl/theme/themeOverride6.xml" ContentType="application/vnd.openxmlformats-officedocument.themeOverride+xml"/>
  <Override PartName="/xl/drawings/drawing5.xml" ContentType="application/vnd.openxmlformats-officedocument.drawingml.chartshapes+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drawings/drawing6.xml" ContentType="application/vnd.openxmlformats-officedocument.drawingml.chartshapes+xml"/>
  <Override PartName="/xl/charts/chart11.xml" ContentType="application/vnd.openxmlformats-officedocument.drawingml.chart+xml"/>
  <Override PartName="/xl/theme/themeOverride11.xml" ContentType="application/vnd.openxmlformats-officedocument.themeOverride+xml"/>
  <Override PartName="/xl/drawings/drawing7.xml" ContentType="application/vnd.openxmlformats-officedocument.drawingml.chartshapes+xml"/>
  <Override PartName="/xl/charts/chart12.xml" ContentType="application/vnd.openxmlformats-officedocument.drawingml.chart+xml"/>
  <Override PartName="/xl/theme/themeOverride12.xml" ContentType="application/vnd.openxmlformats-officedocument.themeOverride+xml"/>
  <Override PartName="/xl/drawings/drawing8.xml" ContentType="application/vnd.openxmlformats-officedocument.drawingml.chartshapes+xml"/>
  <Override PartName="/xl/charts/chart13.xml" ContentType="application/vnd.openxmlformats-officedocument.drawingml.chart+xml"/>
  <Override PartName="/xl/theme/themeOverride13.xml" ContentType="application/vnd.openxmlformats-officedocument.themeOverride+xml"/>
  <Override PartName="/xl/drawings/drawing9.xml" ContentType="application/vnd.openxmlformats-officedocument.drawingml.chartshapes+xml"/>
  <Override PartName="/xl/charts/chart14.xml" ContentType="application/vnd.openxmlformats-officedocument.drawingml.chart+xml"/>
  <Override PartName="/xl/theme/themeOverride14.xml" ContentType="application/vnd.openxmlformats-officedocument.themeOverride+xml"/>
  <Override PartName="/xl/drawings/drawing10.xml" ContentType="application/vnd.openxmlformats-officedocument.drawingml.chartshapes+xml"/>
  <Override PartName="/xl/charts/chart15.xml" ContentType="application/vnd.openxmlformats-officedocument.drawingml.chart+xml"/>
  <Override PartName="/xl/theme/themeOverride15.xml" ContentType="application/vnd.openxmlformats-officedocument.themeOverride+xml"/>
  <Override PartName="/xl/drawings/drawing11.xml" ContentType="application/vnd.openxmlformats-officedocument.drawingml.chartshapes+xml"/>
  <Override PartName="/xl/charts/chart16.xml" ContentType="application/vnd.openxmlformats-officedocument.drawingml.chart+xml"/>
  <Override PartName="/xl/theme/themeOverride16.xml" ContentType="application/vnd.openxmlformats-officedocument.themeOverride+xml"/>
  <Override PartName="/xl/drawings/drawing12.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13.xml" ContentType="application/vnd.openxmlformats-officedocument.drawing+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drawings/drawing14.xml" ContentType="application/vnd.openxmlformats-officedocument.drawing+xml"/>
  <Override PartName="/xl/charts/chart17.xml" ContentType="application/vnd.openxmlformats-officedocument.drawingml.chart+xml"/>
  <Override PartName="/xl/theme/themeOverride17.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hidePivotFieldList="1"/>
  <mc:AlternateContent xmlns:mc="http://schemas.openxmlformats.org/markup-compatibility/2006">
    <mc:Choice Requires="x15">
      <x15ac:absPath xmlns:x15ac="http://schemas.microsoft.com/office/spreadsheetml/2010/11/ac" url="https://nhsproviders1.sharepoint.com/sites/PolicyTeam/Shared Documents/Old Team Folder/Operational performance/Winter/2020-21/Dashboard/"/>
    </mc:Choice>
  </mc:AlternateContent>
  <xr:revisionPtr revIDLastSave="2" documentId="8_{072F94D2-A086-4109-8F95-BEDDA39DDD30}" xr6:coauthVersionLast="45" xr6:coauthVersionMax="45" xr10:uidLastSave="{494E1905-B251-4FD5-AACA-78DFE6B32751}"/>
  <workbookProtection workbookAlgorithmName="SHA-512" workbookHashValue="V1+Xtff3sv70bUGcqB6ctqwFMKan1Vh4JhGVT+FkTKWGOPdd1jKAypAxHAJAVzd9OKknSN7OJzW7thN1D9ZlDA==" workbookSaltValue="3tQYms/GfZVcGcNrRG7a+g==" workbookSpinCount="100000" lockStructure="1"/>
  <bookViews>
    <workbookView xWindow="-110" yWindow="-110" windowWidth="22780" windowHeight="14660" xr2:uid="{00000000-000D-0000-FFFF-FFFF00000000}"/>
  </bookViews>
  <sheets>
    <sheet name="Summary" sheetId="1" r:id="rId1"/>
    <sheet name="A&amp;E diverts" sheetId="3" state="hidden" r:id="rId2"/>
    <sheet name="G&amp;A bed avail." sheetId="12" state="hidden" r:id="rId3"/>
    <sheet name="G&amp;A bed occ." sheetId="4" state="hidden" r:id="rId4"/>
    <sheet name="Long stay" sheetId="5" state="hidden" r:id="rId5"/>
    <sheet name="D&amp;V" sheetId="6" state="hidden" r:id="rId6"/>
    <sheet name="Sheet5" sheetId="17" state="hidden" r:id="rId7"/>
    <sheet name="Critical care" sheetId="8" state="hidden" r:id="rId8"/>
    <sheet name="PICU" sheetId="10" state="hidden" r:id="rId9"/>
    <sheet name="NICU" sheetId="11" state="hidden" r:id="rId10"/>
    <sheet name="Ambulance" sheetId="7" state="hidden" r:id="rId11"/>
    <sheet name="Sheet1" sheetId="13" state="hidden" r:id="rId12"/>
    <sheet name="Sheet2" sheetId="14" state="hidden" r:id="rId13"/>
    <sheet name="Sheet3" sheetId="15" state="hidden" r:id="rId14"/>
  </sheets>
  <definedNames>
    <definedName name="ExternalData_1" localSheetId="6" hidden="1">Sheet5!$A$3:$AP$892</definedName>
  </definedNames>
  <calcPr calcId="191029"/>
  <pivotCaches>
    <pivotCache cacheId="351" r:id="rId15"/>
    <pivotCache cacheId="352" r:id="rId16"/>
    <pivotCache cacheId="353" r:id="rId17"/>
    <pivotCache cacheId="354" r:id="rId18"/>
    <pivotCache cacheId="355" r:id="rId19"/>
    <pivotCache cacheId="356" r:id="rId20"/>
    <pivotCache cacheId="357" r:id="rId21"/>
    <pivotCache cacheId="358" r:id="rId22"/>
    <pivotCache cacheId="359" r:id="rId23"/>
    <pivotCache cacheId="360" r:id="rId24"/>
    <pivotCache cacheId="361" r:id="rId25"/>
    <pivotCache cacheId="362" r:id="rId26"/>
    <pivotCache cacheId="363" r:id="rId27"/>
    <pivotCache cacheId="364" r:id="rId28"/>
    <pivotCache cacheId="365" r:id="rId29"/>
    <pivotCache cacheId="366" r:id="rId30"/>
    <pivotCache cacheId="367" r:id="rId31"/>
    <pivotCache cacheId="368" r:id="rId32"/>
    <pivotCache cacheId="369" r:id="rId33"/>
    <pivotCache cacheId="370" r:id="rId34"/>
    <pivotCache cacheId="371" r:id="rId35"/>
    <pivotCache cacheId="372" r:id="rId36"/>
    <pivotCache cacheId="373" r:id="rId37"/>
    <pivotCache cacheId="374" r:id="rId38"/>
    <pivotCache cacheId="375" r:id="rId39"/>
    <pivotCache cacheId="376" r:id="rId40"/>
    <pivotCache cacheId="377" r:id="rId41"/>
    <pivotCache cacheId="378" r:id="rId42"/>
    <pivotCache cacheId="379" r:id="rId43"/>
    <pivotCache cacheId="380" r:id="rId44"/>
    <pivotCache cacheId="381" r:id="rId45"/>
    <pivotCache cacheId="382" r:id="rId46"/>
    <pivotCache cacheId="383" r:id="rId47"/>
    <pivotCache cacheId="384" r:id="rId48"/>
    <pivotCache cacheId="385" r:id="rId49"/>
    <pivotCache cacheId="386" r:id="rId50"/>
    <pivotCache cacheId="387" r:id="rId51"/>
    <pivotCache cacheId="388" r:id="rId52"/>
    <pivotCache cacheId="389" r:id="rId53"/>
  </pivotCaches>
  <extLst>
    <ext xmlns:x15="http://schemas.microsoft.com/office/spreadsheetml/2010/11/main" uri="{FCE2AD5D-F65C-4FA6-A056-5C36A1767C68}">
      <x15:dataModel>
        <x15:modelTables>
          <x15:modelTable id="Winter daily sitreps_1df812bb-9fc3-4674-8d41-60c6726a8ef3" name="Winter daily sitreps" connection="e-base.nhsproviders.org"/>
          <x15:modelTable id="Winter bed occ over 14 days" name="Winter bed occ over 14 days" connection="Connectio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80" i="1" l="1"/>
  <c r="O80" i="1"/>
  <c r="N80" i="1"/>
  <c r="M80" i="1"/>
  <c r="L80" i="1"/>
  <c r="K80" i="1"/>
  <c r="J80" i="1"/>
  <c r="AM432" i="4"/>
  <c r="AN432" i="4"/>
  <c r="AO432" i="4"/>
  <c r="AP432" i="4"/>
  <c r="AQ432" i="4"/>
  <c r="AR432" i="4"/>
  <c r="AS432" i="4"/>
  <c r="AU432" i="4"/>
  <c r="AV432" i="4"/>
  <c r="AW432" i="4"/>
  <c r="AX432" i="4"/>
  <c r="AY432" i="4"/>
  <c r="AT432" i="4"/>
  <c r="CU6" i="8" l="1"/>
  <c r="CT6" i="8"/>
  <c r="DU5" i="8" l="1"/>
  <c r="DV5" i="8" s="1"/>
  <c r="DW5" i="8" s="1" a="1"/>
  <c r="DW5" i="8" s="1"/>
  <c r="DU6" i="8" l="1"/>
  <c r="EB6" i="8"/>
  <c r="EC7" i="8"/>
  <c r="EC8" i="8"/>
  <c r="EC9" i="8"/>
  <c r="EC10" i="8"/>
  <c r="EC11" i="8"/>
  <c r="EC12" i="8"/>
  <c r="EC13" i="8"/>
  <c r="EC14" i="8"/>
  <c r="EC15" i="8"/>
  <c r="EC16" i="8"/>
  <c r="EC17" i="8"/>
  <c r="EC18" i="8"/>
  <c r="EC6" i="8"/>
  <c r="EB7" i="8"/>
  <c r="EB8" i="8"/>
  <c r="EB9" i="8"/>
  <c r="EB10" i="8"/>
  <c r="EB11" i="8"/>
  <c r="EB12" i="8"/>
  <c r="EB13" i="8"/>
  <c r="EB14" i="8"/>
  <c r="EB15" i="8"/>
  <c r="EB16" i="8"/>
  <c r="EB17" i="8"/>
  <c r="EB18" i="8"/>
  <c r="CV6" i="8"/>
  <c r="DV6" i="8" l="1"/>
  <c r="DW6" i="8" s="1" a="1"/>
  <c r="DW6" i="8" s="1"/>
  <c r="N175" i="1" s="1"/>
  <c r="N161" i="1"/>
  <c r="DL36" i="8"/>
  <c r="DK36" i="8"/>
  <c r="DJ36" i="8"/>
  <c r="DI36" i="8"/>
  <c r="DH36" i="8"/>
  <c r="DG36" i="8"/>
  <c r="DF36" i="8"/>
  <c r="DE36" i="8"/>
  <c r="DL35" i="8"/>
  <c r="DK35" i="8"/>
  <c r="DJ35" i="8"/>
  <c r="DI35" i="8"/>
  <c r="DH35" i="8"/>
  <c r="DG35" i="8"/>
  <c r="DF35" i="8"/>
  <c r="DE35" i="8"/>
  <c r="DL34" i="8"/>
  <c r="DK34" i="8"/>
  <c r="DJ34" i="8"/>
  <c r="DI34" i="8"/>
  <c r="DH34" i="8"/>
  <c r="DG34" i="8"/>
  <c r="DF34" i="8"/>
  <c r="DE34" i="8"/>
  <c r="DL33" i="8"/>
  <c r="DK33" i="8"/>
  <c r="DJ33" i="8"/>
  <c r="DI33" i="8"/>
  <c r="DH33" i="8"/>
  <c r="DG33" i="8"/>
  <c r="DF33" i="8"/>
  <c r="DE33" i="8"/>
  <c r="DL32" i="8"/>
  <c r="DK32" i="8"/>
  <c r="DJ32" i="8"/>
  <c r="DI32" i="8"/>
  <c r="DH32" i="8"/>
  <c r="DG32" i="8"/>
  <c r="DF32" i="8"/>
  <c r="DE32" i="8"/>
  <c r="DL31" i="8"/>
  <c r="DK31" i="8"/>
  <c r="DJ31" i="8"/>
  <c r="DI31" i="8"/>
  <c r="DH31" i="8"/>
  <c r="DG31" i="8"/>
  <c r="DF31" i="8"/>
  <c r="DE31" i="8"/>
  <c r="DL30" i="8"/>
  <c r="DK30" i="8"/>
  <c r="DJ30" i="8"/>
  <c r="DI30" i="8"/>
  <c r="DH30" i="8"/>
  <c r="DG30" i="8"/>
  <c r="DF30" i="8"/>
  <c r="DE30" i="8"/>
  <c r="DL29" i="8"/>
  <c r="DK29" i="8"/>
  <c r="DJ29" i="8"/>
  <c r="DI29" i="8"/>
  <c r="DH29" i="8"/>
  <c r="DG29" i="8"/>
  <c r="DF29" i="8"/>
  <c r="DL28" i="8"/>
  <c r="DK28" i="8"/>
  <c r="DJ28" i="8"/>
  <c r="DI28" i="8"/>
  <c r="DH28" i="8"/>
  <c r="DG28" i="8"/>
  <c r="DF28" i="8"/>
  <c r="DL27" i="8"/>
  <c r="DK27" i="8"/>
  <c r="DJ27" i="8"/>
  <c r="DI27" i="8"/>
  <c r="DH27" i="8"/>
  <c r="DG27" i="8"/>
  <c r="DF27" i="8"/>
  <c r="DL26" i="8"/>
  <c r="DK26" i="8"/>
  <c r="DJ26" i="8"/>
  <c r="DI26" i="8"/>
  <c r="DH26" i="8"/>
  <c r="DG26" i="8"/>
  <c r="DF26" i="8"/>
  <c r="DL25" i="8"/>
  <c r="DK25" i="8"/>
  <c r="DJ25" i="8"/>
  <c r="DI25" i="8"/>
  <c r="DH25" i="8"/>
  <c r="DG25" i="8"/>
  <c r="DF25" i="8"/>
  <c r="DL24" i="8"/>
  <c r="DK24" i="8"/>
  <c r="DJ24" i="8"/>
  <c r="DI24" i="8"/>
  <c r="DH24" i="8"/>
  <c r="DG24" i="8"/>
  <c r="DF24" i="8"/>
  <c r="DE29" i="8"/>
  <c r="DE28" i="8"/>
  <c r="DE27" i="8"/>
  <c r="DE26" i="8"/>
  <c r="DE25" i="8"/>
  <c r="DE24" i="8"/>
  <c r="DL7" i="8"/>
  <c r="DL8" i="8"/>
  <c r="DL9" i="8"/>
  <c r="DL10" i="8"/>
  <c r="DL11" i="8"/>
  <c r="DL12" i="8"/>
  <c r="DL13" i="8"/>
  <c r="DL14" i="8"/>
  <c r="DL15" i="8"/>
  <c r="DL16" i="8"/>
  <c r="DL17" i="8"/>
  <c r="DL18" i="8"/>
  <c r="DL6" i="8"/>
  <c r="DK7" i="8"/>
  <c r="E169" i="1" s="1"/>
  <c r="DK8" i="8"/>
  <c r="F169" i="1" s="1"/>
  <c r="DK9" i="8"/>
  <c r="G169" i="1" s="1"/>
  <c r="DK10" i="8"/>
  <c r="H169" i="1" s="1"/>
  <c r="DK11" i="8"/>
  <c r="I169" i="1" s="1"/>
  <c r="DK12" i="8"/>
  <c r="J169" i="1" s="1"/>
  <c r="DK13" i="8"/>
  <c r="K169" i="1" s="1"/>
  <c r="DK14" i="8"/>
  <c r="L169" i="1" s="1"/>
  <c r="DK15" i="8"/>
  <c r="M169" i="1" s="1"/>
  <c r="DK16" i="8"/>
  <c r="N169" i="1" s="1"/>
  <c r="DK17" i="8"/>
  <c r="O169" i="1" s="1"/>
  <c r="DK18" i="8"/>
  <c r="P169" i="1" s="1"/>
  <c r="DK6" i="8"/>
  <c r="D169" i="1" s="1"/>
  <c r="DI7" i="8"/>
  <c r="E172" i="1" s="1"/>
  <c r="DI8" i="8"/>
  <c r="F172" i="1" s="1"/>
  <c r="DI9" i="8"/>
  <c r="G172" i="1" s="1"/>
  <c r="DI10" i="8"/>
  <c r="H172" i="1" s="1"/>
  <c r="DI11" i="8"/>
  <c r="I172" i="1" s="1"/>
  <c r="DI12" i="8"/>
  <c r="J172" i="1" s="1"/>
  <c r="DI13" i="8"/>
  <c r="K172" i="1" s="1"/>
  <c r="DI14" i="8"/>
  <c r="L172" i="1" s="1"/>
  <c r="DI15" i="8"/>
  <c r="M172" i="1" s="1"/>
  <c r="DI16" i="8"/>
  <c r="N172" i="1" s="1"/>
  <c r="DI17" i="8"/>
  <c r="O172" i="1" s="1"/>
  <c r="DI18" i="8"/>
  <c r="P172" i="1" s="1"/>
  <c r="DI6" i="8"/>
  <c r="D172" i="1" s="1"/>
  <c r="DJ7" i="8"/>
  <c r="E173" i="1" s="1"/>
  <c r="DJ8" i="8"/>
  <c r="F173" i="1" s="1"/>
  <c r="DJ9" i="8"/>
  <c r="G173" i="1" s="1"/>
  <c r="DJ10" i="8"/>
  <c r="H173" i="1" s="1"/>
  <c r="DJ11" i="8"/>
  <c r="I173" i="1" s="1"/>
  <c r="DJ12" i="8"/>
  <c r="J173" i="1" s="1"/>
  <c r="DJ13" i="8"/>
  <c r="K173" i="1" s="1"/>
  <c r="DJ14" i="8"/>
  <c r="L173" i="1" s="1"/>
  <c r="DJ15" i="8"/>
  <c r="M173" i="1" s="1"/>
  <c r="DJ16" i="8"/>
  <c r="N173" i="1" s="1"/>
  <c r="DJ17" i="8"/>
  <c r="O173" i="1" s="1"/>
  <c r="DJ18" i="8"/>
  <c r="P173" i="1" s="1"/>
  <c r="DJ6" i="8"/>
  <c r="D173" i="1" s="1"/>
  <c r="DA25" i="8"/>
  <c r="DA26" i="8"/>
  <c r="DA27" i="8"/>
  <c r="DA28" i="8"/>
  <c r="DA29" i="8"/>
  <c r="DA30" i="8"/>
  <c r="DA31" i="8"/>
  <c r="DA32" i="8"/>
  <c r="DA33" i="8"/>
  <c r="DA34" i="8"/>
  <c r="DA35" i="8"/>
  <c r="DA36" i="8"/>
  <c r="DA24" i="8"/>
  <c r="CZ25" i="8"/>
  <c r="CZ26" i="8"/>
  <c r="CZ27" i="8"/>
  <c r="CZ28" i="8"/>
  <c r="CZ29" i="8"/>
  <c r="CZ30" i="8"/>
  <c r="CZ31" i="8"/>
  <c r="CZ32" i="8"/>
  <c r="CZ33" i="8"/>
  <c r="CZ34" i="8"/>
  <c r="CZ35" i="8"/>
  <c r="CZ36" i="8"/>
  <c r="CZ24" i="8"/>
  <c r="CY25" i="8"/>
  <c r="CY26" i="8"/>
  <c r="CY27" i="8"/>
  <c r="CY28" i="8"/>
  <c r="CY29" i="8"/>
  <c r="CY30" i="8"/>
  <c r="CY31" i="8"/>
  <c r="CY32" i="8"/>
  <c r="CY33" i="8"/>
  <c r="CY34" i="8"/>
  <c r="CY35" i="8"/>
  <c r="CY36" i="8"/>
  <c r="CY24" i="8"/>
  <c r="CX25" i="8"/>
  <c r="CX26" i="8"/>
  <c r="CX27" i="8"/>
  <c r="CX28" i="8"/>
  <c r="CX29" i="8"/>
  <c r="CX30" i="8"/>
  <c r="CX31" i="8"/>
  <c r="CX32" i="8"/>
  <c r="CX33" i="8"/>
  <c r="CX34" i="8"/>
  <c r="CX35" i="8"/>
  <c r="CX36" i="8"/>
  <c r="CX24" i="8"/>
  <c r="DA7" i="8"/>
  <c r="DA8" i="8"/>
  <c r="DA9" i="8"/>
  <c r="DA10" i="8"/>
  <c r="DA11" i="8"/>
  <c r="DA12" i="8"/>
  <c r="DA13" i="8"/>
  <c r="DA14" i="8"/>
  <c r="DA15" i="8"/>
  <c r="DA16" i="8"/>
  <c r="DA17" i="8"/>
  <c r="DA18" i="8"/>
  <c r="DA6" i="8"/>
  <c r="CZ7" i="8"/>
  <c r="CZ8" i="8"/>
  <c r="CZ9" i="8"/>
  <c r="CZ10" i="8"/>
  <c r="CZ11" i="8"/>
  <c r="CZ12" i="8"/>
  <c r="CZ13" i="8"/>
  <c r="CZ14" i="8"/>
  <c r="CZ15" i="8"/>
  <c r="CZ16" i="8"/>
  <c r="CZ17" i="8"/>
  <c r="CZ18" i="8"/>
  <c r="CZ6" i="8"/>
  <c r="CY7" i="8"/>
  <c r="CY8" i="8"/>
  <c r="CY9" i="8"/>
  <c r="CY10" i="8"/>
  <c r="CY11" i="8"/>
  <c r="CY12" i="8"/>
  <c r="CY13" i="8"/>
  <c r="CY14" i="8"/>
  <c r="CY15" i="8"/>
  <c r="CY16" i="8"/>
  <c r="CY17" i="8"/>
  <c r="CY18" i="8"/>
  <c r="CY6" i="8"/>
  <c r="CX7" i="8"/>
  <c r="E158" i="1" s="1"/>
  <c r="CX8" i="8"/>
  <c r="F158" i="1" s="1"/>
  <c r="CX9" i="8"/>
  <c r="G158" i="1" s="1"/>
  <c r="CX10" i="8"/>
  <c r="H158" i="1" s="1"/>
  <c r="CX11" i="8"/>
  <c r="I158" i="1" s="1"/>
  <c r="CX12" i="8"/>
  <c r="J158" i="1" s="1"/>
  <c r="CX13" i="8"/>
  <c r="K158" i="1" s="1"/>
  <c r="CX14" i="8"/>
  <c r="L158" i="1" s="1"/>
  <c r="CX15" i="8"/>
  <c r="M158" i="1" s="1"/>
  <c r="CX16" i="8"/>
  <c r="N158" i="1" s="1"/>
  <c r="CX17" i="8"/>
  <c r="O158" i="1" s="1"/>
  <c r="CX18" i="8"/>
  <c r="P158" i="1" s="1"/>
  <c r="CX6" i="8"/>
  <c r="D158" i="1" s="1"/>
  <c r="CW7" i="8"/>
  <c r="E156" i="1" s="1"/>
  <c r="CW8" i="8"/>
  <c r="F156" i="1" s="1"/>
  <c r="CW9" i="8"/>
  <c r="G156" i="1" s="1"/>
  <c r="CW10" i="8"/>
  <c r="H156" i="1" s="1"/>
  <c r="CW11" i="8"/>
  <c r="I156" i="1" s="1"/>
  <c r="CW12" i="8"/>
  <c r="J156" i="1" s="1"/>
  <c r="CW13" i="8"/>
  <c r="K156" i="1" s="1"/>
  <c r="CW14" i="8"/>
  <c r="L156" i="1" s="1"/>
  <c r="CW15" i="8"/>
  <c r="M156" i="1" s="1"/>
  <c r="CW16" i="8"/>
  <c r="N156" i="1" s="1"/>
  <c r="CW17" i="8"/>
  <c r="O156" i="1" s="1"/>
  <c r="CW18" i="8"/>
  <c r="P156" i="1" s="1"/>
  <c r="CW6" i="8"/>
  <c r="D156" i="1" s="1"/>
  <c r="CW25" i="8"/>
  <c r="CW26" i="8"/>
  <c r="CW27" i="8"/>
  <c r="CW28" i="8"/>
  <c r="CW29" i="8"/>
  <c r="CW30" i="8"/>
  <c r="CW31" i="8"/>
  <c r="CW32" i="8"/>
  <c r="CW33" i="8"/>
  <c r="CW34" i="8"/>
  <c r="CW35" i="8"/>
  <c r="CW36" i="8"/>
  <c r="CW24" i="8"/>
  <c r="CT24" i="8"/>
  <c r="DH7" i="8"/>
  <c r="E170" i="1" s="1"/>
  <c r="DH8" i="8"/>
  <c r="F170" i="1" s="1"/>
  <c r="DH9" i="8"/>
  <c r="G170" i="1" s="1"/>
  <c r="DH10" i="8"/>
  <c r="H170" i="1" s="1"/>
  <c r="DH11" i="8"/>
  <c r="I170" i="1" s="1"/>
  <c r="DH12" i="8"/>
  <c r="J170" i="1" s="1"/>
  <c r="DH13" i="8"/>
  <c r="K170" i="1" s="1"/>
  <c r="DH14" i="8"/>
  <c r="L170" i="1" s="1"/>
  <c r="DH15" i="8"/>
  <c r="M170" i="1" s="1"/>
  <c r="DH16" i="8"/>
  <c r="N170" i="1" s="1"/>
  <c r="DH17" i="8"/>
  <c r="O170" i="1" s="1"/>
  <c r="DH18" i="8"/>
  <c r="P170" i="1" s="1"/>
  <c r="DH6" i="8"/>
  <c r="D170" i="1" s="1"/>
  <c r="DG18" i="8"/>
  <c r="P168" i="1" s="1"/>
  <c r="DG17" i="8"/>
  <c r="O168" i="1" s="1"/>
  <c r="DG16" i="8"/>
  <c r="N168" i="1" s="1"/>
  <c r="DG15" i="8"/>
  <c r="M168" i="1" s="1"/>
  <c r="DG14" i="8"/>
  <c r="L168" i="1" s="1"/>
  <c r="DG13" i="8"/>
  <c r="K168" i="1" s="1"/>
  <c r="DG12" i="8"/>
  <c r="J168" i="1" s="1"/>
  <c r="DG11" i="8"/>
  <c r="I168" i="1" s="1"/>
  <c r="DG10" i="8"/>
  <c r="H168" i="1" s="1"/>
  <c r="DG9" i="8"/>
  <c r="G168" i="1" s="1"/>
  <c r="DG8" i="8"/>
  <c r="F168" i="1" s="1"/>
  <c r="DG7" i="8"/>
  <c r="E168" i="1" s="1"/>
  <c r="DG6" i="8"/>
  <c r="D168" i="1" s="1"/>
  <c r="DF18" i="8"/>
  <c r="P167" i="1" s="1"/>
  <c r="DF17" i="8"/>
  <c r="O167" i="1" s="1"/>
  <c r="DF16" i="8"/>
  <c r="N167" i="1" s="1"/>
  <c r="DF15" i="8"/>
  <c r="M167" i="1" s="1"/>
  <c r="DF14" i="8"/>
  <c r="L167" i="1" s="1"/>
  <c r="DF13" i="8"/>
  <c r="K167" i="1" s="1"/>
  <c r="DF12" i="8"/>
  <c r="J167" i="1" s="1"/>
  <c r="DF11" i="8"/>
  <c r="I167" i="1" s="1"/>
  <c r="DF10" i="8"/>
  <c r="H167" i="1" s="1"/>
  <c r="DF9" i="8"/>
  <c r="G167" i="1" s="1"/>
  <c r="DF8" i="8"/>
  <c r="F167" i="1" s="1"/>
  <c r="DF7" i="8"/>
  <c r="E167" i="1" s="1"/>
  <c r="DF6" i="8"/>
  <c r="D167" i="1" s="1"/>
  <c r="DE18" i="8"/>
  <c r="P166" i="1" s="1"/>
  <c r="DE17" i="8"/>
  <c r="O166" i="1" s="1"/>
  <c r="DE16" i="8"/>
  <c r="N166" i="1" s="1"/>
  <c r="DE15" i="8"/>
  <c r="M166" i="1" s="1"/>
  <c r="DE14" i="8"/>
  <c r="L166" i="1" s="1"/>
  <c r="DE13" i="8"/>
  <c r="K166" i="1" s="1"/>
  <c r="DE12" i="8"/>
  <c r="J166" i="1" s="1"/>
  <c r="DE11" i="8"/>
  <c r="I166" i="1" s="1"/>
  <c r="DE10" i="8"/>
  <c r="H166" i="1" s="1"/>
  <c r="DE9" i="8"/>
  <c r="G166" i="1" s="1"/>
  <c r="DE8" i="8"/>
  <c r="F166" i="1" s="1"/>
  <c r="DE7" i="8"/>
  <c r="E166" i="1" s="1"/>
  <c r="DE6" i="8"/>
  <c r="D166" i="1" s="1"/>
  <c r="CV36" i="8"/>
  <c r="CV35" i="8"/>
  <c r="CV34" i="8"/>
  <c r="CV33" i="8"/>
  <c r="CV32" i="8"/>
  <c r="CV31" i="8"/>
  <c r="CV30" i="8"/>
  <c r="CV29" i="8"/>
  <c r="CV28" i="8"/>
  <c r="CV27" i="8"/>
  <c r="CV26" i="8"/>
  <c r="CV25" i="8"/>
  <c r="CV24" i="8"/>
  <c r="CU25" i="8"/>
  <c r="CU26" i="8"/>
  <c r="CU27" i="8"/>
  <c r="CU28" i="8"/>
  <c r="CU29" i="8"/>
  <c r="CU30" i="8"/>
  <c r="CU31" i="8"/>
  <c r="CU32" i="8"/>
  <c r="CU33" i="8"/>
  <c r="CU34" i="8"/>
  <c r="CU35" i="8"/>
  <c r="CU36" i="8"/>
  <c r="CU24" i="8"/>
  <c r="CT25" i="8"/>
  <c r="CT26" i="8"/>
  <c r="CT27" i="8"/>
  <c r="CT28" i="8"/>
  <c r="CT29" i="8"/>
  <c r="CT30" i="8"/>
  <c r="CT31" i="8"/>
  <c r="CT32" i="8"/>
  <c r="CT33" i="8"/>
  <c r="CT34" i="8"/>
  <c r="CT35" i="8"/>
  <c r="CT36" i="8"/>
  <c r="D157" i="1" l="1"/>
  <c r="D171" i="1"/>
  <c r="I171" i="1"/>
  <c r="I157" i="1"/>
  <c r="P171" i="1"/>
  <c r="P157" i="1"/>
  <c r="H157" i="1"/>
  <c r="H171" i="1"/>
  <c r="J157" i="1"/>
  <c r="J171" i="1"/>
  <c r="O171" i="1"/>
  <c r="O157" i="1"/>
  <c r="G171" i="1"/>
  <c r="G157" i="1"/>
  <c r="N171" i="1"/>
  <c r="N157" i="1"/>
  <c r="F171" i="1"/>
  <c r="F157" i="1"/>
  <c r="M157" i="1"/>
  <c r="M171" i="1"/>
  <c r="E157" i="1"/>
  <c r="E171" i="1"/>
  <c r="L157" i="1"/>
  <c r="L171" i="1"/>
  <c r="K157" i="1"/>
  <c r="K171" i="1"/>
  <c r="O159" i="1"/>
  <c r="G159" i="1"/>
  <c r="L155" i="1"/>
  <c r="K155" i="1"/>
  <c r="M159" i="1"/>
  <c r="E159" i="1"/>
  <c r="J155" i="1"/>
  <c r="L159" i="1"/>
  <c r="D155" i="1"/>
  <c r="I155" i="1"/>
  <c r="H159" i="1"/>
  <c r="K159" i="1"/>
  <c r="P155" i="1"/>
  <c r="H155" i="1"/>
  <c r="M155" i="1"/>
  <c r="N159" i="1"/>
  <c r="J159" i="1"/>
  <c r="O155" i="1"/>
  <c r="G155" i="1"/>
  <c r="P159" i="1"/>
  <c r="E155" i="1"/>
  <c r="F159" i="1"/>
  <c r="D159" i="1"/>
  <c r="I159" i="1"/>
  <c r="N155" i="1"/>
  <c r="F155" i="1"/>
  <c r="D154" i="1"/>
  <c r="CV7" i="8"/>
  <c r="CV8" i="8"/>
  <c r="CV9" i="8"/>
  <c r="CV10" i="8"/>
  <c r="CV11" i="8"/>
  <c r="CV12" i="8"/>
  <c r="CV13" i="8"/>
  <c r="CV14" i="8"/>
  <c r="CV15" i="8"/>
  <c r="CV16" i="8"/>
  <c r="CV17" i="8"/>
  <c r="CV18" i="8"/>
  <c r="CU7" i="8"/>
  <c r="CU8" i="8"/>
  <c r="CU9" i="8"/>
  <c r="CU10" i="8"/>
  <c r="CU11" i="8"/>
  <c r="CU12" i="8"/>
  <c r="CU13" i="8"/>
  <c r="CU14" i="8"/>
  <c r="CU15" i="8"/>
  <c r="CU16" i="8"/>
  <c r="CU17" i="8"/>
  <c r="CU18" i="8"/>
  <c r="CT7" i="8"/>
  <c r="CT8" i="8"/>
  <c r="CT9" i="8"/>
  <c r="CT10" i="8"/>
  <c r="CT11" i="8"/>
  <c r="CT12" i="8"/>
  <c r="CT13" i="8"/>
  <c r="CT14" i="8"/>
  <c r="CT15" i="8"/>
  <c r="CT16" i="8"/>
  <c r="CT17" i="8"/>
  <c r="CT18" i="8"/>
  <c r="P154" i="1" l="1"/>
  <c r="K153" i="1"/>
  <c r="O154" i="1"/>
  <c r="G154" i="1"/>
  <c r="I154" i="1"/>
  <c r="H154" i="1"/>
  <c r="J153" i="1"/>
  <c r="N154" i="1"/>
  <c r="F154" i="1"/>
  <c r="D153" i="1"/>
  <c r="I153" i="1"/>
  <c r="M154" i="1"/>
  <c r="E154" i="1"/>
  <c r="P153" i="1"/>
  <c r="H153" i="1"/>
  <c r="L154" i="1"/>
  <c r="M153" i="1"/>
  <c r="G153" i="1"/>
  <c r="E153" i="1"/>
  <c r="L153" i="1"/>
  <c r="O153" i="1"/>
  <c r="K154" i="1"/>
  <c r="N153" i="1"/>
  <c r="F153" i="1"/>
  <c r="J154" i="1"/>
  <c r="J152" i="1"/>
  <c r="D152" i="1"/>
  <c r="I152" i="1"/>
  <c r="H152" i="1"/>
  <c r="F152" i="1"/>
  <c r="K152" i="1"/>
  <c r="P152" i="1"/>
  <c r="O152" i="1"/>
  <c r="G152" i="1"/>
  <c r="M152" i="1"/>
  <c r="E152" i="1"/>
  <c r="N152" i="1"/>
  <c r="L152" i="1"/>
  <c r="BC5" i="5"/>
  <c r="BR6" i="10"/>
  <c r="CA144" i="6" l="1"/>
  <c r="AD143" i="6"/>
  <c r="AC143" i="6"/>
  <c r="M5" i="5"/>
  <c r="AN292" i="4"/>
  <c r="AM418" i="4"/>
  <c r="AM151" i="4"/>
  <c r="BD154" i="4"/>
  <c r="AO277" i="4"/>
  <c r="AM292" i="4" l="1"/>
  <c r="AD5" i="3"/>
  <c r="Q4" i="3" l="1"/>
  <c r="BT143" i="7" l="1"/>
  <c r="AU152" i="4"/>
  <c r="AU153" i="4"/>
  <c r="AU154" i="4"/>
  <c r="AU155" i="4"/>
  <c r="AU156" i="4"/>
  <c r="AU157" i="4"/>
  <c r="AU158" i="4"/>
  <c r="AU159" i="4"/>
  <c r="AU160" i="4"/>
  <c r="AU161" i="4"/>
  <c r="AU162" i="4"/>
  <c r="AU163" i="4"/>
  <c r="AU164" i="4"/>
  <c r="AU165" i="4"/>
  <c r="AU166" i="4"/>
  <c r="AU167" i="4"/>
  <c r="AU168" i="4"/>
  <c r="AU169" i="4"/>
  <c r="AU170" i="4"/>
  <c r="AU171" i="4"/>
  <c r="AU172" i="4"/>
  <c r="AU173" i="4"/>
  <c r="AU174" i="4"/>
  <c r="AU175" i="4"/>
  <c r="AU176" i="4"/>
  <c r="AU177" i="4"/>
  <c r="AU178" i="4"/>
  <c r="AU179" i="4"/>
  <c r="AU180" i="4"/>
  <c r="AU181" i="4"/>
  <c r="AU182" i="4"/>
  <c r="AU183" i="4"/>
  <c r="AU184" i="4"/>
  <c r="AU185" i="4"/>
  <c r="AU186" i="4"/>
  <c r="AU187" i="4"/>
  <c r="AU188" i="4"/>
  <c r="AU189" i="4"/>
  <c r="AU190" i="4"/>
  <c r="AU191" i="4"/>
  <c r="AU192" i="4"/>
  <c r="AU193" i="4"/>
  <c r="AU194" i="4"/>
  <c r="AU195" i="4"/>
  <c r="AU196" i="4"/>
  <c r="AU197" i="4"/>
  <c r="AU198" i="4"/>
  <c r="AU199" i="4"/>
  <c r="AU200" i="4"/>
  <c r="AU201" i="4"/>
  <c r="AU202" i="4"/>
  <c r="AU203" i="4"/>
  <c r="AU204" i="4"/>
  <c r="AU205" i="4"/>
  <c r="AU206" i="4"/>
  <c r="AU207" i="4"/>
  <c r="AU208" i="4"/>
  <c r="AU209" i="4"/>
  <c r="AU210" i="4"/>
  <c r="AU211" i="4"/>
  <c r="AU212" i="4"/>
  <c r="AU213" i="4"/>
  <c r="AU214" i="4"/>
  <c r="AU215" i="4"/>
  <c r="AU216" i="4"/>
  <c r="AU217" i="4"/>
  <c r="AU218" i="4"/>
  <c r="AU219" i="4"/>
  <c r="AU220" i="4"/>
  <c r="AU221" i="4"/>
  <c r="AU222" i="4"/>
  <c r="AU223" i="4"/>
  <c r="AU224" i="4"/>
  <c r="AU225" i="4"/>
  <c r="AU226" i="4"/>
  <c r="AU227" i="4"/>
  <c r="AU228" i="4"/>
  <c r="AU229" i="4"/>
  <c r="AU230" i="4"/>
  <c r="AU231" i="4"/>
  <c r="AU232" i="4"/>
  <c r="AU233" i="4"/>
  <c r="AU234" i="4"/>
  <c r="AU235" i="4"/>
  <c r="AU236" i="4"/>
  <c r="AU237" i="4"/>
  <c r="AU238" i="4"/>
  <c r="AU239" i="4"/>
  <c r="AU240" i="4"/>
  <c r="AU241" i="4"/>
  <c r="AU242" i="4"/>
  <c r="AU243" i="4"/>
  <c r="AU244" i="4"/>
  <c r="AU245" i="4"/>
  <c r="AU246" i="4"/>
  <c r="AU247" i="4"/>
  <c r="AU248" i="4"/>
  <c r="AU249" i="4"/>
  <c r="AU250" i="4"/>
  <c r="AU251" i="4"/>
  <c r="AU252" i="4"/>
  <c r="AU253" i="4"/>
  <c r="AU254" i="4"/>
  <c r="AU255" i="4"/>
  <c r="AU256" i="4"/>
  <c r="AU257" i="4"/>
  <c r="AU258" i="4"/>
  <c r="AU259" i="4"/>
  <c r="AU260" i="4"/>
  <c r="AU261" i="4"/>
  <c r="AU262" i="4"/>
  <c r="AU263" i="4"/>
  <c r="AU264" i="4"/>
  <c r="AU265" i="4"/>
  <c r="AU266" i="4"/>
  <c r="AU267" i="4"/>
  <c r="AU268" i="4"/>
  <c r="AU269" i="4"/>
  <c r="AU270" i="4"/>
  <c r="AU271" i="4"/>
  <c r="AU272" i="4"/>
  <c r="AU273" i="4"/>
  <c r="AU274" i="4"/>
  <c r="AU275" i="4"/>
  <c r="AU276" i="4"/>
  <c r="AU277" i="4"/>
  <c r="AU151" i="4"/>
  <c r="AN151" i="4"/>
  <c r="AU150" i="4" l="1"/>
  <c r="E12" i="11"/>
  <c r="E11" i="11"/>
  <c r="E10" i="11"/>
  <c r="E9" i="11"/>
  <c r="E7" i="11"/>
  <c r="E6" i="11"/>
  <c r="E13" i="11"/>
  <c r="AM433" i="4" l="1"/>
  <c r="AM434" i="4"/>
  <c r="AM435" i="4"/>
  <c r="AM436" i="4"/>
  <c r="AM437" i="4"/>
  <c r="AM438" i="4"/>
  <c r="AM439" i="4"/>
  <c r="AM440" i="4"/>
  <c r="AM441" i="4"/>
  <c r="AM442" i="4"/>
  <c r="AM443" i="4"/>
  <c r="AM444" i="4"/>
  <c r="AM445" i="4"/>
  <c r="AM446" i="4"/>
  <c r="AM447" i="4"/>
  <c r="AM448" i="4"/>
  <c r="AM449" i="4"/>
  <c r="AM450" i="4"/>
  <c r="AM451" i="4"/>
  <c r="AM452" i="4"/>
  <c r="AM453" i="4"/>
  <c r="AM454" i="4"/>
  <c r="AM455" i="4"/>
  <c r="AM456" i="4"/>
  <c r="AM457" i="4"/>
  <c r="AM458" i="4"/>
  <c r="AM459" i="4"/>
  <c r="AM460" i="4"/>
  <c r="AM461" i="4"/>
  <c r="AM462" i="4"/>
  <c r="AM463" i="4"/>
  <c r="AM464" i="4"/>
  <c r="AM465" i="4"/>
  <c r="AM466" i="4"/>
  <c r="AM467" i="4"/>
  <c r="AM468" i="4"/>
  <c r="AM469" i="4"/>
  <c r="AM470" i="4"/>
  <c r="AM471" i="4"/>
  <c r="AM472" i="4"/>
  <c r="AM473" i="4"/>
  <c r="AM474" i="4"/>
  <c r="AM475" i="4"/>
  <c r="AM476" i="4"/>
  <c r="AM477" i="4"/>
  <c r="AM478" i="4"/>
  <c r="AM479" i="4"/>
  <c r="AM480" i="4"/>
  <c r="AM481" i="4"/>
  <c r="AM482" i="4"/>
  <c r="AM483" i="4"/>
  <c r="AM484" i="4"/>
  <c r="AM485" i="4"/>
  <c r="AM486" i="4"/>
  <c r="AM487" i="4"/>
  <c r="AM488" i="4"/>
  <c r="AM489" i="4"/>
  <c r="AM490" i="4"/>
  <c r="AM491" i="4"/>
  <c r="AM492" i="4"/>
  <c r="AM493" i="4"/>
  <c r="AM494" i="4"/>
  <c r="AM495" i="4"/>
  <c r="AM496" i="4"/>
  <c r="AM497" i="4"/>
  <c r="AM498" i="4"/>
  <c r="AM499" i="4"/>
  <c r="AM500" i="4"/>
  <c r="AM501" i="4"/>
  <c r="AM502" i="4"/>
  <c r="AM503" i="4"/>
  <c r="AM504" i="4"/>
  <c r="AM505" i="4"/>
  <c r="AM506" i="4"/>
  <c r="AM507" i="4"/>
  <c r="AM508" i="4"/>
  <c r="AM509" i="4"/>
  <c r="AM510" i="4"/>
  <c r="AM511" i="4"/>
  <c r="AM512" i="4"/>
  <c r="AM513" i="4"/>
  <c r="AM514" i="4"/>
  <c r="AM515" i="4"/>
  <c r="AM516" i="4"/>
  <c r="AM517" i="4"/>
  <c r="AM518" i="4"/>
  <c r="AM519" i="4"/>
  <c r="AM520" i="4"/>
  <c r="AM521" i="4"/>
  <c r="AM522" i="4"/>
  <c r="AM523" i="4"/>
  <c r="AM524" i="4"/>
  <c r="AM525" i="4"/>
  <c r="AM526" i="4"/>
  <c r="AM527" i="4"/>
  <c r="AM528" i="4"/>
  <c r="AM529" i="4"/>
  <c r="AM530" i="4"/>
  <c r="AM531" i="4"/>
  <c r="AM532" i="4"/>
  <c r="AM533" i="4"/>
  <c r="AM534" i="4"/>
  <c r="AM535" i="4"/>
  <c r="AM536" i="4"/>
  <c r="AM537" i="4"/>
  <c r="AM538" i="4"/>
  <c r="AM539" i="4"/>
  <c r="AM540" i="4"/>
  <c r="AM541" i="4"/>
  <c r="AM542" i="4"/>
  <c r="AM543" i="4"/>
  <c r="AM544" i="4"/>
  <c r="AM545" i="4"/>
  <c r="AM546" i="4"/>
  <c r="AM547" i="4"/>
  <c r="AM548" i="4"/>
  <c r="AM549" i="4"/>
  <c r="AM550" i="4"/>
  <c r="AM551" i="4"/>
  <c r="AM552" i="4"/>
  <c r="AM553" i="4"/>
  <c r="AM554" i="4"/>
  <c r="AM555" i="4"/>
  <c r="AM556" i="4"/>
  <c r="AM557" i="4"/>
  <c r="AM558" i="4"/>
  <c r="AM559" i="4"/>
  <c r="AM293" i="4"/>
  <c r="AM294" i="4"/>
  <c r="AM295" i="4"/>
  <c r="AM296" i="4"/>
  <c r="AM297" i="4"/>
  <c r="AM298" i="4"/>
  <c r="AM299" i="4"/>
  <c r="AM300" i="4"/>
  <c r="AM301" i="4"/>
  <c r="AM302" i="4"/>
  <c r="AM303" i="4"/>
  <c r="AM304" i="4"/>
  <c r="AM305" i="4"/>
  <c r="AM306" i="4"/>
  <c r="AM307" i="4"/>
  <c r="AM308" i="4"/>
  <c r="AM309" i="4"/>
  <c r="AM310" i="4"/>
  <c r="AM311" i="4"/>
  <c r="AM312" i="4"/>
  <c r="AM313" i="4"/>
  <c r="AM314" i="4"/>
  <c r="AM315" i="4"/>
  <c r="AM316" i="4"/>
  <c r="AM317" i="4"/>
  <c r="AM318" i="4"/>
  <c r="AM319" i="4"/>
  <c r="AM320" i="4"/>
  <c r="AM321" i="4"/>
  <c r="AM322" i="4"/>
  <c r="AM323" i="4"/>
  <c r="AM324" i="4"/>
  <c r="AM325" i="4"/>
  <c r="AM326" i="4"/>
  <c r="AM327" i="4"/>
  <c r="AM328" i="4"/>
  <c r="AM329" i="4"/>
  <c r="AM330" i="4"/>
  <c r="AM331" i="4"/>
  <c r="AM332" i="4"/>
  <c r="AM333" i="4"/>
  <c r="AM334" i="4"/>
  <c r="AM335" i="4"/>
  <c r="AM336" i="4"/>
  <c r="AM337" i="4"/>
  <c r="AM338" i="4"/>
  <c r="AM339" i="4"/>
  <c r="AM340" i="4"/>
  <c r="AM341" i="4"/>
  <c r="AM342" i="4"/>
  <c r="AM343" i="4"/>
  <c r="AM344" i="4"/>
  <c r="AM345" i="4"/>
  <c r="AM346" i="4"/>
  <c r="AM347" i="4"/>
  <c r="AM348" i="4"/>
  <c r="AM349" i="4"/>
  <c r="AM350" i="4"/>
  <c r="AM351" i="4"/>
  <c r="AM352" i="4"/>
  <c r="AM353" i="4"/>
  <c r="AM354" i="4"/>
  <c r="AM355" i="4"/>
  <c r="AM356" i="4"/>
  <c r="AM357" i="4"/>
  <c r="AM358" i="4"/>
  <c r="AM359" i="4"/>
  <c r="AM360" i="4"/>
  <c r="AM361" i="4"/>
  <c r="AM362" i="4"/>
  <c r="AM363" i="4"/>
  <c r="AM364" i="4"/>
  <c r="AM365" i="4"/>
  <c r="AM366" i="4"/>
  <c r="AM367" i="4"/>
  <c r="AM368" i="4"/>
  <c r="AM369" i="4"/>
  <c r="AM370" i="4"/>
  <c r="AM371" i="4"/>
  <c r="AM372" i="4"/>
  <c r="AM373" i="4"/>
  <c r="AM374" i="4"/>
  <c r="AM375" i="4"/>
  <c r="AM376" i="4"/>
  <c r="AM377" i="4"/>
  <c r="AM378" i="4"/>
  <c r="AM379" i="4"/>
  <c r="AM380" i="4"/>
  <c r="AM381" i="4"/>
  <c r="AM382" i="4"/>
  <c r="AM383" i="4"/>
  <c r="AM384" i="4"/>
  <c r="AM385" i="4"/>
  <c r="AM386" i="4"/>
  <c r="AM387" i="4"/>
  <c r="AM388" i="4"/>
  <c r="AM389" i="4"/>
  <c r="AM390" i="4"/>
  <c r="AM391" i="4"/>
  <c r="AM392" i="4"/>
  <c r="AM393" i="4"/>
  <c r="AM394" i="4"/>
  <c r="AM395" i="4"/>
  <c r="AM396" i="4"/>
  <c r="AM397" i="4"/>
  <c r="AM398" i="4"/>
  <c r="AM399" i="4"/>
  <c r="AM400" i="4"/>
  <c r="AM401" i="4"/>
  <c r="AM402" i="4"/>
  <c r="AM403" i="4"/>
  <c r="AM404" i="4"/>
  <c r="AM405" i="4"/>
  <c r="AM406" i="4"/>
  <c r="AM407" i="4"/>
  <c r="AM408" i="4"/>
  <c r="AM409" i="4"/>
  <c r="AM410" i="4"/>
  <c r="AM411" i="4"/>
  <c r="AM412" i="4"/>
  <c r="AM413" i="4"/>
  <c r="AM414" i="4"/>
  <c r="AM415" i="4"/>
  <c r="AM416" i="4"/>
  <c r="AM417" i="4"/>
  <c r="AN158" i="4"/>
  <c r="AM152" i="4"/>
  <c r="AM153" i="4"/>
  <c r="AM154" i="4"/>
  <c r="AM155" i="4"/>
  <c r="AM156" i="4"/>
  <c r="AM157" i="4"/>
  <c r="AM158" i="4"/>
  <c r="AM159" i="4"/>
  <c r="AM160" i="4"/>
  <c r="AM161" i="4"/>
  <c r="AM162" i="4"/>
  <c r="AM163" i="4"/>
  <c r="AM164" i="4"/>
  <c r="AM165" i="4"/>
  <c r="AM166" i="4"/>
  <c r="AM167" i="4"/>
  <c r="AM168" i="4"/>
  <c r="AM169" i="4"/>
  <c r="AM170" i="4"/>
  <c r="AM171" i="4"/>
  <c r="AM172" i="4"/>
  <c r="AM173" i="4"/>
  <c r="AM174" i="4"/>
  <c r="AM175" i="4"/>
  <c r="AM176" i="4"/>
  <c r="AM177" i="4"/>
  <c r="AM178" i="4"/>
  <c r="AM179" i="4"/>
  <c r="AM180" i="4"/>
  <c r="AM181" i="4"/>
  <c r="AM182" i="4"/>
  <c r="AM183" i="4"/>
  <c r="AM184" i="4"/>
  <c r="AM185" i="4"/>
  <c r="AM186" i="4"/>
  <c r="AM187" i="4"/>
  <c r="AM188" i="4"/>
  <c r="AM189" i="4"/>
  <c r="AM190" i="4"/>
  <c r="AM191" i="4"/>
  <c r="AM192" i="4"/>
  <c r="AM193" i="4"/>
  <c r="AM194" i="4"/>
  <c r="AM195" i="4"/>
  <c r="AM196" i="4"/>
  <c r="AM197" i="4"/>
  <c r="AM198" i="4"/>
  <c r="AM199" i="4"/>
  <c r="AM200" i="4"/>
  <c r="AM201" i="4"/>
  <c r="AM202" i="4"/>
  <c r="AM203" i="4"/>
  <c r="AM204" i="4"/>
  <c r="AM205" i="4"/>
  <c r="AM206" i="4"/>
  <c r="AM207" i="4"/>
  <c r="AM208" i="4"/>
  <c r="AM209" i="4"/>
  <c r="AM210" i="4"/>
  <c r="AM211" i="4"/>
  <c r="AM212" i="4"/>
  <c r="AM213" i="4"/>
  <c r="AM214" i="4"/>
  <c r="AM215" i="4"/>
  <c r="AM216" i="4"/>
  <c r="AM217" i="4"/>
  <c r="AM218" i="4"/>
  <c r="AM219" i="4"/>
  <c r="AM220" i="4"/>
  <c r="AM221" i="4"/>
  <c r="AM222" i="4"/>
  <c r="AM223" i="4"/>
  <c r="AM224" i="4"/>
  <c r="AM225" i="4"/>
  <c r="AM226" i="4"/>
  <c r="AM227" i="4"/>
  <c r="AM228" i="4"/>
  <c r="AM229" i="4"/>
  <c r="AM230" i="4"/>
  <c r="AM231" i="4"/>
  <c r="AM232" i="4"/>
  <c r="AM233" i="4"/>
  <c r="AM234" i="4"/>
  <c r="AM235" i="4"/>
  <c r="AM236" i="4"/>
  <c r="AM237" i="4"/>
  <c r="AM238" i="4"/>
  <c r="AM239" i="4"/>
  <c r="AM240" i="4"/>
  <c r="AM241" i="4"/>
  <c r="AM242" i="4"/>
  <c r="AM243" i="4"/>
  <c r="AM244" i="4"/>
  <c r="AM245" i="4"/>
  <c r="AM246" i="4"/>
  <c r="AM247" i="4"/>
  <c r="AM248" i="4"/>
  <c r="AM249" i="4"/>
  <c r="AM250" i="4"/>
  <c r="AM251" i="4"/>
  <c r="AM252" i="4"/>
  <c r="AM253" i="4"/>
  <c r="AM254" i="4"/>
  <c r="AM255" i="4"/>
  <c r="AM256" i="4"/>
  <c r="AM257" i="4"/>
  <c r="AM258" i="4"/>
  <c r="AM259" i="4"/>
  <c r="AM260" i="4"/>
  <c r="AM261" i="4"/>
  <c r="AM262" i="4"/>
  <c r="AM263" i="4"/>
  <c r="AM264" i="4"/>
  <c r="AM265" i="4"/>
  <c r="AM266" i="4"/>
  <c r="AM267" i="4"/>
  <c r="AM268" i="4"/>
  <c r="AM269" i="4"/>
  <c r="AM270" i="4"/>
  <c r="AM271" i="4"/>
  <c r="AM272" i="4"/>
  <c r="AM273" i="4"/>
  <c r="AM274" i="4"/>
  <c r="AM275" i="4"/>
  <c r="AM276" i="4"/>
  <c r="AM277" i="4"/>
  <c r="CB144" i="6"/>
  <c r="BN8" i="8"/>
  <c r="F192" i="1" s="1"/>
  <c r="AD6" i="3"/>
  <c r="AD7" i="3" s="1"/>
  <c r="BL143" i="7"/>
  <c r="BA28" i="7"/>
  <c r="I277" i="1" s="1"/>
  <c r="BE24" i="7"/>
  <c r="E283" i="1" s="1"/>
  <c r="BE25" i="7"/>
  <c r="F283" i="1" s="1"/>
  <c r="BE26" i="7"/>
  <c r="G283" i="1" s="1"/>
  <c r="BE27" i="7"/>
  <c r="H283" i="1" s="1"/>
  <c r="BE28" i="7"/>
  <c r="I283" i="1" s="1"/>
  <c r="BE29" i="7"/>
  <c r="J283" i="1" s="1"/>
  <c r="BE30" i="7"/>
  <c r="K283" i="1" s="1"/>
  <c r="BE31" i="7"/>
  <c r="L283" i="1" s="1"/>
  <c r="BE32" i="7"/>
  <c r="M283" i="1" s="1"/>
  <c r="BE33" i="7"/>
  <c r="N283" i="1" s="1"/>
  <c r="BE34" i="7"/>
  <c r="O283" i="1" s="1"/>
  <c r="BE35" i="7"/>
  <c r="P283" i="1" s="1"/>
  <c r="BD24" i="7"/>
  <c r="E282" i="1" s="1"/>
  <c r="BD25" i="7"/>
  <c r="F282" i="1" s="1"/>
  <c r="BD26" i="7"/>
  <c r="G282" i="1" s="1"/>
  <c r="BD27" i="7"/>
  <c r="H282" i="1" s="1"/>
  <c r="BD28" i="7"/>
  <c r="I282" i="1" s="1"/>
  <c r="BD29" i="7"/>
  <c r="J282" i="1" s="1"/>
  <c r="BD30" i="7"/>
  <c r="K282" i="1" s="1"/>
  <c r="BD31" i="7"/>
  <c r="L282" i="1" s="1"/>
  <c r="BD32" i="7"/>
  <c r="M282" i="1" s="1"/>
  <c r="BD33" i="7"/>
  <c r="N282" i="1" s="1"/>
  <c r="BD34" i="7"/>
  <c r="O282" i="1" s="1"/>
  <c r="BD35" i="7"/>
  <c r="P282" i="1" s="1"/>
  <c r="BG24" i="7"/>
  <c r="E281" i="1" s="1"/>
  <c r="BG25" i="7"/>
  <c r="F281" i="1" s="1"/>
  <c r="BG26" i="7"/>
  <c r="G281" i="1" s="1"/>
  <c r="BG27" i="7"/>
  <c r="H281" i="1" s="1"/>
  <c r="BG28" i="7"/>
  <c r="I281" i="1" s="1"/>
  <c r="BG29" i="7"/>
  <c r="J281" i="1" s="1"/>
  <c r="BG30" i="7"/>
  <c r="K281" i="1" s="1"/>
  <c r="BG31" i="7"/>
  <c r="L281" i="1" s="1"/>
  <c r="BG32" i="7"/>
  <c r="M281" i="1" s="1"/>
  <c r="BG33" i="7"/>
  <c r="N281" i="1" s="1"/>
  <c r="BG34" i="7"/>
  <c r="O281" i="1" s="1"/>
  <c r="BG35" i="7"/>
  <c r="P281" i="1" s="1"/>
  <c r="BG23" i="7"/>
  <c r="D281" i="1" s="1"/>
  <c r="BC24" i="7"/>
  <c r="E280" i="1" s="1"/>
  <c r="BC25" i="7"/>
  <c r="F280" i="1" s="1"/>
  <c r="BC26" i="7"/>
  <c r="G280" i="1" s="1"/>
  <c r="BC27" i="7"/>
  <c r="H280" i="1" s="1"/>
  <c r="BC28" i="7"/>
  <c r="I280" i="1" s="1"/>
  <c r="BC29" i="7"/>
  <c r="J280" i="1" s="1"/>
  <c r="BC30" i="7"/>
  <c r="K280" i="1" s="1"/>
  <c r="BC31" i="7"/>
  <c r="L280" i="1" s="1"/>
  <c r="BC32" i="7"/>
  <c r="M280" i="1" s="1"/>
  <c r="BC33" i="7"/>
  <c r="N280" i="1" s="1"/>
  <c r="BC34" i="7"/>
  <c r="O280" i="1" s="1"/>
  <c r="BC35" i="7"/>
  <c r="P280" i="1" s="1"/>
  <c r="BF24" i="7"/>
  <c r="E279" i="1" s="1"/>
  <c r="BF25" i="7"/>
  <c r="F279" i="1" s="1"/>
  <c r="BF26" i="7"/>
  <c r="G279" i="1" s="1"/>
  <c r="BF27" i="7"/>
  <c r="H279" i="1" s="1"/>
  <c r="BF28" i="7"/>
  <c r="I279" i="1" s="1"/>
  <c r="BF29" i="7"/>
  <c r="J279" i="1" s="1"/>
  <c r="BF30" i="7"/>
  <c r="K279" i="1" s="1"/>
  <c r="BF31" i="7"/>
  <c r="L279" i="1" s="1"/>
  <c r="BF32" i="7"/>
  <c r="M279" i="1" s="1"/>
  <c r="BF33" i="7"/>
  <c r="N279" i="1" s="1"/>
  <c r="BF34" i="7"/>
  <c r="O279" i="1" s="1"/>
  <c r="BF35" i="7"/>
  <c r="P279" i="1" s="1"/>
  <c r="BC23" i="7"/>
  <c r="D280" i="1" s="1"/>
  <c r="BF23" i="7"/>
  <c r="D279" i="1" s="1"/>
  <c r="BB24" i="7"/>
  <c r="E278" i="1" s="1"/>
  <c r="BB25" i="7"/>
  <c r="F278" i="1" s="1"/>
  <c r="BB26" i="7"/>
  <c r="G278" i="1" s="1"/>
  <c r="BB27" i="7"/>
  <c r="H278" i="1" s="1"/>
  <c r="BB28" i="7"/>
  <c r="I278" i="1" s="1"/>
  <c r="BB29" i="7"/>
  <c r="J278" i="1" s="1"/>
  <c r="BB30" i="7"/>
  <c r="K278" i="1" s="1"/>
  <c r="BB31" i="7"/>
  <c r="L278" i="1" s="1"/>
  <c r="BB32" i="7"/>
  <c r="M278" i="1" s="1"/>
  <c r="BB33" i="7"/>
  <c r="N278" i="1" s="1"/>
  <c r="BB34" i="7"/>
  <c r="O278" i="1" s="1"/>
  <c r="BB35" i="7"/>
  <c r="P278" i="1" s="1"/>
  <c r="BA24" i="7"/>
  <c r="E277" i="1" s="1"/>
  <c r="BA25" i="7"/>
  <c r="F277" i="1" s="1"/>
  <c r="BA26" i="7"/>
  <c r="G277" i="1" s="1"/>
  <c r="BA27" i="7"/>
  <c r="H277" i="1" s="1"/>
  <c r="BA29" i="7"/>
  <c r="J277" i="1" s="1"/>
  <c r="BA30" i="7"/>
  <c r="K277" i="1" s="1"/>
  <c r="BA31" i="7"/>
  <c r="L277" i="1" s="1"/>
  <c r="BA32" i="7"/>
  <c r="M277" i="1" s="1"/>
  <c r="BA33" i="7"/>
  <c r="N277" i="1" s="1"/>
  <c r="BA34" i="7"/>
  <c r="O277" i="1" s="1"/>
  <c r="BA35" i="7"/>
  <c r="P277" i="1" s="1"/>
  <c r="AZ24" i="7"/>
  <c r="E276" i="1" s="1"/>
  <c r="AZ25" i="7"/>
  <c r="F276" i="1" s="1"/>
  <c r="AZ26" i="7"/>
  <c r="G276" i="1" s="1"/>
  <c r="AZ27" i="7"/>
  <c r="H276" i="1" s="1"/>
  <c r="AZ28" i="7"/>
  <c r="I276" i="1" s="1"/>
  <c r="AZ29" i="7"/>
  <c r="J276" i="1" s="1"/>
  <c r="AZ30" i="7"/>
  <c r="K276" i="1" s="1"/>
  <c r="AZ31" i="7"/>
  <c r="L276" i="1" s="1"/>
  <c r="AZ32" i="7"/>
  <c r="M276" i="1" s="1"/>
  <c r="AZ33" i="7"/>
  <c r="N276" i="1" s="1"/>
  <c r="AZ34" i="7"/>
  <c r="O276" i="1" s="1"/>
  <c r="AZ35" i="7"/>
  <c r="P276" i="1" s="1"/>
  <c r="AZ23" i="7"/>
  <c r="D276" i="1" s="1"/>
  <c r="BE23" i="7"/>
  <c r="D283" i="1" s="1"/>
  <c r="BD23" i="7"/>
  <c r="D282" i="1" s="1"/>
  <c r="BB23" i="7"/>
  <c r="D278" i="1" s="1"/>
  <c r="BA23" i="7"/>
  <c r="D277" i="1" s="1"/>
  <c r="BD7" i="7"/>
  <c r="E270" i="1" s="1"/>
  <c r="BD8" i="7"/>
  <c r="F270" i="1" s="1"/>
  <c r="BD9" i="7"/>
  <c r="G270" i="1" s="1"/>
  <c r="BD10" i="7"/>
  <c r="H270" i="1" s="1"/>
  <c r="BD11" i="7"/>
  <c r="I270" i="1" s="1"/>
  <c r="BD12" i="7"/>
  <c r="J270" i="1" s="1"/>
  <c r="BD13" i="7"/>
  <c r="K270" i="1" s="1"/>
  <c r="BD14" i="7"/>
  <c r="L270" i="1" s="1"/>
  <c r="BD15" i="7"/>
  <c r="M270" i="1" s="1"/>
  <c r="BD16" i="7"/>
  <c r="N270" i="1" s="1"/>
  <c r="BD17" i="7"/>
  <c r="O270" i="1" s="1"/>
  <c r="BD18" i="7"/>
  <c r="P270" i="1" s="1"/>
  <c r="BE18" i="7"/>
  <c r="P271" i="1" s="1"/>
  <c r="BE7" i="7"/>
  <c r="E271" i="1" s="1"/>
  <c r="BE8" i="7"/>
  <c r="F271" i="1" s="1"/>
  <c r="BE9" i="7"/>
  <c r="G271" i="1" s="1"/>
  <c r="BE10" i="7"/>
  <c r="H271" i="1" s="1"/>
  <c r="BE11" i="7"/>
  <c r="I271" i="1" s="1"/>
  <c r="BE12" i="7"/>
  <c r="J271" i="1" s="1"/>
  <c r="BE13" i="7"/>
  <c r="K271" i="1" s="1"/>
  <c r="BE14" i="7"/>
  <c r="L271" i="1" s="1"/>
  <c r="BE15" i="7"/>
  <c r="M271" i="1" s="1"/>
  <c r="BE16" i="7"/>
  <c r="N271" i="1" s="1"/>
  <c r="BE17" i="7"/>
  <c r="O271" i="1" s="1"/>
  <c r="BC7" i="7"/>
  <c r="E268" i="1" s="1"/>
  <c r="BC8" i="7"/>
  <c r="F268" i="1" s="1"/>
  <c r="BC9" i="7"/>
  <c r="G268" i="1" s="1"/>
  <c r="BC10" i="7"/>
  <c r="H268" i="1" s="1"/>
  <c r="BC11" i="7"/>
  <c r="I268" i="1" s="1"/>
  <c r="BC12" i="7"/>
  <c r="J268" i="1" s="1"/>
  <c r="BC13" i="7"/>
  <c r="K268" i="1" s="1"/>
  <c r="BC14" i="7"/>
  <c r="L268" i="1" s="1"/>
  <c r="BC15" i="7"/>
  <c r="M268" i="1" s="1"/>
  <c r="BC16" i="7"/>
  <c r="N268" i="1" s="1"/>
  <c r="BC17" i="7"/>
  <c r="O268" i="1" s="1"/>
  <c r="BC18" i="7"/>
  <c r="P268" i="1" s="1"/>
  <c r="BG7" i="7"/>
  <c r="E269" i="1" s="1"/>
  <c r="BG8" i="7"/>
  <c r="F269" i="1" s="1"/>
  <c r="BG9" i="7"/>
  <c r="G269" i="1" s="1"/>
  <c r="BG10" i="7"/>
  <c r="H269" i="1" s="1"/>
  <c r="BG11" i="7"/>
  <c r="I269" i="1" s="1"/>
  <c r="BG12" i="7"/>
  <c r="J269" i="1" s="1"/>
  <c r="BG13" i="7"/>
  <c r="K269" i="1" s="1"/>
  <c r="BG14" i="7"/>
  <c r="L269" i="1" s="1"/>
  <c r="BG15" i="7"/>
  <c r="M269" i="1" s="1"/>
  <c r="BG16" i="7"/>
  <c r="N269" i="1" s="1"/>
  <c r="BG17" i="7"/>
  <c r="O269" i="1" s="1"/>
  <c r="BG18" i="7"/>
  <c r="P269" i="1" s="1"/>
  <c r="BG6" i="7"/>
  <c r="D269" i="1" s="1"/>
  <c r="BC6" i="7"/>
  <c r="D268" i="1" s="1"/>
  <c r="BF7" i="7"/>
  <c r="E267" i="1" s="1"/>
  <c r="BF8" i="7"/>
  <c r="F267" i="1" s="1"/>
  <c r="BF9" i="7"/>
  <c r="G267" i="1" s="1"/>
  <c r="BF10" i="7"/>
  <c r="H267" i="1" s="1"/>
  <c r="BF11" i="7"/>
  <c r="I267" i="1" s="1"/>
  <c r="BF12" i="7"/>
  <c r="J267" i="1" s="1"/>
  <c r="BF13" i="7"/>
  <c r="K267" i="1" s="1"/>
  <c r="BF14" i="7"/>
  <c r="L267" i="1" s="1"/>
  <c r="BF15" i="7"/>
  <c r="M267" i="1" s="1"/>
  <c r="BF16" i="7"/>
  <c r="N267" i="1" s="1"/>
  <c r="BF17" i="7"/>
  <c r="O267" i="1" s="1"/>
  <c r="BF18" i="7"/>
  <c r="P267" i="1" s="1"/>
  <c r="BF6" i="7"/>
  <c r="D267" i="1" s="1"/>
  <c r="BB7" i="7"/>
  <c r="E266" i="1" s="1"/>
  <c r="BB8" i="7"/>
  <c r="F266" i="1" s="1"/>
  <c r="BB9" i="7"/>
  <c r="G266" i="1" s="1"/>
  <c r="BB10" i="7"/>
  <c r="H266" i="1" s="1"/>
  <c r="BB11" i="7"/>
  <c r="I266" i="1" s="1"/>
  <c r="BB12" i="7"/>
  <c r="J266" i="1" s="1"/>
  <c r="BB13" i="7"/>
  <c r="K266" i="1" s="1"/>
  <c r="BB14" i="7"/>
  <c r="L266" i="1" s="1"/>
  <c r="BB15" i="7"/>
  <c r="M266" i="1" s="1"/>
  <c r="BB16" i="7"/>
  <c r="N266" i="1" s="1"/>
  <c r="BB17" i="7"/>
  <c r="O266" i="1" s="1"/>
  <c r="BB18" i="7"/>
  <c r="P266" i="1" s="1"/>
  <c r="BA7" i="7"/>
  <c r="E265" i="1" s="1"/>
  <c r="BA8" i="7"/>
  <c r="F265" i="1" s="1"/>
  <c r="BA9" i="7"/>
  <c r="G265" i="1" s="1"/>
  <c r="BA10" i="7"/>
  <c r="H265" i="1" s="1"/>
  <c r="BA11" i="7"/>
  <c r="I265" i="1" s="1"/>
  <c r="BA12" i="7"/>
  <c r="J265" i="1" s="1"/>
  <c r="BA13" i="7"/>
  <c r="K265" i="1" s="1"/>
  <c r="BA14" i="7"/>
  <c r="L265" i="1" s="1"/>
  <c r="BA15" i="7"/>
  <c r="M265" i="1" s="1"/>
  <c r="BA16" i="7"/>
  <c r="N265" i="1" s="1"/>
  <c r="BA17" i="7"/>
  <c r="O265" i="1" s="1"/>
  <c r="BA18" i="7"/>
  <c r="P265" i="1" s="1"/>
  <c r="BA6" i="7"/>
  <c r="D265" i="1" s="1"/>
  <c r="AZ18" i="7"/>
  <c r="P264" i="1" s="1"/>
  <c r="AZ7" i="7"/>
  <c r="E264" i="1" s="1"/>
  <c r="AZ8" i="7"/>
  <c r="F264" i="1" s="1"/>
  <c r="AZ9" i="7"/>
  <c r="G264" i="1" s="1"/>
  <c r="AZ10" i="7"/>
  <c r="H264" i="1" s="1"/>
  <c r="AZ11" i="7"/>
  <c r="I264" i="1" s="1"/>
  <c r="AZ12" i="7"/>
  <c r="J264" i="1" s="1"/>
  <c r="AZ13" i="7"/>
  <c r="K264" i="1" s="1"/>
  <c r="AZ14" i="7"/>
  <c r="L264" i="1" s="1"/>
  <c r="AZ15" i="7"/>
  <c r="M264" i="1" s="1"/>
  <c r="AZ16" i="7"/>
  <c r="N264" i="1" s="1"/>
  <c r="AZ17" i="7"/>
  <c r="O264" i="1" s="1"/>
  <c r="AZ6" i="7"/>
  <c r="D264" i="1" s="1"/>
  <c r="BE6" i="7"/>
  <c r="D271" i="1" s="1"/>
  <c r="BD6" i="7"/>
  <c r="D270" i="1" s="1"/>
  <c r="BB6" i="7"/>
  <c r="D266" i="1" s="1"/>
  <c r="R5" i="7"/>
  <c r="E258" i="1" s="1"/>
  <c r="R6" i="7"/>
  <c r="F258" i="1" s="1"/>
  <c r="R7" i="7"/>
  <c r="G258" i="1" s="1"/>
  <c r="R8" i="7"/>
  <c r="H258" i="1" s="1"/>
  <c r="R9" i="7"/>
  <c r="I258" i="1" s="1"/>
  <c r="R10" i="7"/>
  <c r="J258" i="1" s="1"/>
  <c r="R11" i="7"/>
  <c r="K258" i="1" s="1"/>
  <c r="R12" i="7"/>
  <c r="L258" i="1" s="1"/>
  <c r="R13" i="7"/>
  <c r="M258" i="1" s="1"/>
  <c r="R14" i="7"/>
  <c r="N258" i="1" s="1"/>
  <c r="R15" i="7"/>
  <c r="O258" i="1" s="1"/>
  <c r="R16" i="7"/>
  <c r="P258" i="1" s="1"/>
  <c r="S5" i="7"/>
  <c r="E259" i="1" s="1"/>
  <c r="S6" i="7"/>
  <c r="F259" i="1" s="1"/>
  <c r="S7" i="7"/>
  <c r="G259" i="1" s="1"/>
  <c r="S8" i="7"/>
  <c r="H259" i="1" s="1"/>
  <c r="S9" i="7"/>
  <c r="I259" i="1" s="1"/>
  <c r="S10" i="7"/>
  <c r="J259" i="1" s="1"/>
  <c r="S11" i="7"/>
  <c r="K259" i="1" s="1"/>
  <c r="S12" i="7"/>
  <c r="L259" i="1" s="1"/>
  <c r="S13" i="7"/>
  <c r="M259" i="1" s="1"/>
  <c r="S14" i="7"/>
  <c r="N259" i="1" s="1"/>
  <c r="S15" i="7"/>
  <c r="O259" i="1" s="1"/>
  <c r="S16" i="7"/>
  <c r="P259" i="1" s="1"/>
  <c r="U5" i="7"/>
  <c r="E257" i="1" s="1"/>
  <c r="U6" i="7"/>
  <c r="F257" i="1" s="1"/>
  <c r="U7" i="7"/>
  <c r="G257" i="1" s="1"/>
  <c r="U8" i="7"/>
  <c r="H257" i="1" s="1"/>
  <c r="U9" i="7"/>
  <c r="I257" i="1" s="1"/>
  <c r="U10" i="7"/>
  <c r="J257" i="1" s="1"/>
  <c r="U11" i="7"/>
  <c r="K257" i="1" s="1"/>
  <c r="U12" i="7"/>
  <c r="L257" i="1" s="1"/>
  <c r="U13" i="7"/>
  <c r="M257" i="1" s="1"/>
  <c r="U14" i="7"/>
  <c r="N257" i="1" s="1"/>
  <c r="U15" i="7"/>
  <c r="O257" i="1" s="1"/>
  <c r="U16" i="7"/>
  <c r="P257" i="1" s="1"/>
  <c r="U4" i="7"/>
  <c r="D257" i="1" s="1"/>
  <c r="Q5" i="7"/>
  <c r="E256" i="1" s="1"/>
  <c r="Q6" i="7"/>
  <c r="F256" i="1" s="1"/>
  <c r="Q7" i="7"/>
  <c r="G256" i="1" s="1"/>
  <c r="Q8" i="7"/>
  <c r="H256" i="1" s="1"/>
  <c r="Q9" i="7"/>
  <c r="I256" i="1" s="1"/>
  <c r="Q10" i="7"/>
  <c r="J256" i="1" s="1"/>
  <c r="Q11" i="7"/>
  <c r="K256" i="1" s="1"/>
  <c r="Q12" i="7"/>
  <c r="L256" i="1" s="1"/>
  <c r="Q13" i="7"/>
  <c r="M256" i="1" s="1"/>
  <c r="Q14" i="7"/>
  <c r="N256" i="1" s="1"/>
  <c r="Q15" i="7"/>
  <c r="O256" i="1" s="1"/>
  <c r="Q16" i="7"/>
  <c r="P256" i="1" s="1"/>
  <c r="Q4" i="7"/>
  <c r="D256" i="1" s="1"/>
  <c r="T5" i="7"/>
  <c r="E255" i="1" s="1"/>
  <c r="T6" i="7"/>
  <c r="F255" i="1" s="1"/>
  <c r="T7" i="7"/>
  <c r="G255" i="1" s="1"/>
  <c r="T8" i="7"/>
  <c r="H255" i="1" s="1"/>
  <c r="T9" i="7"/>
  <c r="I255" i="1" s="1"/>
  <c r="T10" i="7"/>
  <c r="J255" i="1" s="1"/>
  <c r="T11" i="7"/>
  <c r="K255" i="1" s="1"/>
  <c r="T12" i="7"/>
  <c r="L255" i="1" s="1"/>
  <c r="T13" i="7"/>
  <c r="M255" i="1" s="1"/>
  <c r="T14" i="7"/>
  <c r="N255" i="1" s="1"/>
  <c r="T15" i="7"/>
  <c r="O255" i="1" s="1"/>
  <c r="T16" i="7"/>
  <c r="P255" i="1" s="1"/>
  <c r="T4" i="7"/>
  <c r="D255" i="1" s="1"/>
  <c r="P5" i="7"/>
  <c r="E254" i="1" s="1"/>
  <c r="P6" i="7"/>
  <c r="F254" i="1" s="1"/>
  <c r="P7" i="7"/>
  <c r="G254" i="1" s="1"/>
  <c r="P8" i="7"/>
  <c r="H254" i="1" s="1"/>
  <c r="P9" i="7"/>
  <c r="I254" i="1" s="1"/>
  <c r="P10" i="7"/>
  <c r="J254" i="1" s="1"/>
  <c r="P11" i="7"/>
  <c r="K254" i="1" s="1"/>
  <c r="P12" i="7"/>
  <c r="L254" i="1" s="1"/>
  <c r="P13" i="7"/>
  <c r="M254" i="1" s="1"/>
  <c r="P14" i="7"/>
  <c r="N254" i="1" s="1"/>
  <c r="P15" i="7"/>
  <c r="O254" i="1" s="1"/>
  <c r="P16" i="7"/>
  <c r="P254" i="1" s="1"/>
  <c r="O4" i="7"/>
  <c r="D253" i="1" s="1"/>
  <c r="O5" i="7"/>
  <c r="E253" i="1" s="1"/>
  <c r="O6" i="7"/>
  <c r="F253" i="1" s="1"/>
  <c r="O7" i="7"/>
  <c r="G253" i="1" s="1"/>
  <c r="O8" i="7"/>
  <c r="H253" i="1" s="1"/>
  <c r="O9" i="7"/>
  <c r="I253" i="1" s="1"/>
  <c r="O10" i="7"/>
  <c r="J253" i="1" s="1"/>
  <c r="O11" i="7"/>
  <c r="K253" i="1" s="1"/>
  <c r="O12" i="7"/>
  <c r="L253" i="1" s="1"/>
  <c r="O13" i="7"/>
  <c r="M253" i="1" s="1"/>
  <c r="O14" i="7"/>
  <c r="N253" i="1" s="1"/>
  <c r="O15" i="7"/>
  <c r="O253" i="1" s="1"/>
  <c r="O16" i="7"/>
  <c r="P253" i="1" s="1"/>
  <c r="N16" i="7"/>
  <c r="P252" i="1" s="1"/>
  <c r="N15" i="7"/>
  <c r="O252" i="1" s="1"/>
  <c r="N14" i="7"/>
  <c r="N252" i="1" s="1"/>
  <c r="N13" i="7"/>
  <c r="M252" i="1" s="1"/>
  <c r="N12" i="7"/>
  <c r="L252" i="1" s="1"/>
  <c r="N11" i="7"/>
  <c r="K252" i="1" s="1"/>
  <c r="N10" i="7"/>
  <c r="J252" i="1" s="1"/>
  <c r="N9" i="7"/>
  <c r="I252" i="1" s="1"/>
  <c r="N8" i="7"/>
  <c r="H252" i="1" s="1"/>
  <c r="N7" i="7"/>
  <c r="G252" i="1" s="1"/>
  <c r="N6" i="7"/>
  <c r="F252" i="1" s="1"/>
  <c r="N5" i="7"/>
  <c r="E252" i="1" s="1"/>
  <c r="N4" i="7"/>
  <c r="D252" i="1" s="1"/>
  <c r="S4" i="7"/>
  <c r="D259" i="1" s="1"/>
  <c r="R4" i="7"/>
  <c r="D258" i="1" s="1"/>
  <c r="P4" i="7"/>
  <c r="D254" i="1" s="1"/>
  <c r="BR7" i="11"/>
  <c r="E247" i="1" s="1"/>
  <c r="BR8" i="11"/>
  <c r="F247" i="1" s="1"/>
  <c r="BR9" i="11"/>
  <c r="G247" i="1" s="1"/>
  <c r="BR10" i="11"/>
  <c r="H247" i="1" s="1"/>
  <c r="BR11" i="11"/>
  <c r="I247" i="1" s="1"/>
  <c r="BR12" i="11"/>
  <c r="J247" i="1" s="1"/>
  <c r="BR13" i="11"/>
  <c r="K247" i="1" s="1"/>
  <c r="BR14" i="11"/>
  <c r="L247" i="1" s="1"/>
  <c r="BR15" i="11"/>
  <c r="M247" i="1" s="1"/>
  <c r="BR16" i="11"/>
  <c r="N247" i="1" s="1"/>
  <c r="BR17" i="11"/>
  <c r="O247" i="1" s="1"/>
  <c r="BR18" i="11"/>
  <c r="P247" i="1" s="1"/>
  <c r="BQ7" i="11"/>
  <c r="E246" i="1" s="1"/>
  <c r="BQ8" i="11"/>
  <c r="F246" i="1" s="1"/>
  <c r="BQ9" i="11"/>
  <c r="G246" i="1" s="1"/>
  <c r="BQ10" i="11"/>
  <c r="H246" i="1" s="1"/>
  <c r="BQ11" i="11"/>
  <c r="I246" i="1" s="1"/>
  <c r="BQ12" i="11"/>
  <c r="J246" i="1" s="1"/>
  <c r="BQ13" i="11"/>
  <c r="K246" i="1" s="1"/>
  <c r="BQ14" i="11"/>
  <c r="L246" i="1" s="1"/>
  <c r="BQ15" i="11"/>
  <c r="M246" i="1" s="1"/>
  <c r="BQ16" i="11"/>
  <c r="N246" i="1" s="1"/>
  <c r="BQ17" i="11"/>
  <c r="O246" i="1" s="1"/>
  <c r="BQ18" i="11"/>
  <c r="P246" i="1" s="1"/>
  <c r="BT7" i="11"/>
  <c r="E245" i="1" s="1"/>
  <c r="BT8" i="11"/>
  <c r="F245" i="1" s="1"/>
  <c r="BT9" i="11"/>
  <c r="G245" i="1" s="1"/>
  <c r="BT10" i="11"/>
  <c r="H245" i="1" s="1"/>
  <c r="BT11" i="11"/>
  <c r="I245" i="1" s="1"/>
  <c r="BT12" i="11"/>
  <c r="J245" i="1" s="1"/>
  <c r="BT13" i="11"/>
  <c r="K245" i="1" s="1"/>
  <c r="BT14" i="11"/>
  <c r="L245" i="1" s="1"/>
  <c r="BT15" i="11"/>
  <c r="M245" i="1" s="1"/>
  <c r="BT16" i="11"/>
  <c r="N245" i="1" s="1"/>
  <c r="BT17" i="11"/>
  <c r="O245" i="1" s="1"/>
  <c r="BT18" i="11"/>
  <c r="P245" i="1" s="1"/>
  <c r="BT6" i="11"/>
  <c r="D245" i="1" s="1"/>
  <c r="BP7" i="11"/>
  <c r="E244" i="1" s="1"/>
  <c r="BP8" i="11"/>
  <c r="F244" i="1" s="1"/>
  <c r="BP9" i="11"/>
  <c r="G244" i="1" s="1"/>
  <c r="BP10" i="11"/>
  <c r="H244" i="1" s="1"/>
  <c r="BP11" i="11"/>
  <c r="I244" i="1" s="1"/>
  <c r="BP12" i="11"/>
  <c r="J244" i="1" s="1"/>
  <c r="BP13" i="11"/>
  <c r="K244" i="1" s="1"/>
  <c r="BP14" i="11"/>
  <c r="L244" i="1" s="1"/>
  <c r="BP15" i="11"/>
  <c r="M244" i="1" s="1"/>
  <c r="BP16" i="11"/>
  <c r="N244" i="1" s="1"/>
  <c r="BP17" i="11"/>
  <c r="O244" i="1" s="1"/>
  <c r="BP18" i="11"/>
  <c r="P244" i="1" s="1"/>
  <c r="BP6" i="11"/>
  <c r="D244" i="1" s="1"/>
  <c r="BS7" i="11"/>
  <c r="E243" i="1" s="1"/>
  <c r="BS8" i="11"/>
  <c r="F243" i="1" s="1"/>
  <c r="BS9" i="11"/>
  <c r="G243" i="1" s="1"/>
  <c r="BS10" i="11"/>
  <c r="H243" i="1" s="1"/>
  <c r="BS11" i="11"/>
  <c r="I243" i="1" s="1"/>
  <c r="BS12" i="11"/>
  <c r="J243" i="1" s="1"/>
  <c r="BS13" i="11"/>
  <c r="K243" i="1" s="1"/>
  <c r="BS14" i="11"/>
  <c r="L243" i="1" s="1"/>
  <c r="BS15" i="11"/>
  <c r="M243" i="1" s="1"/>
  <c r="BS16" i="11"/>
  <c r="N243" i="1" s="1"/>
  <c r="BS17" i="11"/>
  <c r="O243" i="1" s="1"/>
  <c r="BS18" i="11"/>
  <c r="P243" i="1" s="1"/>
  <c r="BS6" i="11"/>
  <c r="D243" i="1" s="1"/>
  <c r="BO7" i="11"/>
  <c r="E242" i="1" s="1"/>
  <c r="BO8" i="11"/>
  <c r="F242" i="1" s="1"/>
  <c r="BO9" i="11"/>
  <c r="G242" i="1" s="1"/>
  <c r="BO10" i="11"/>
  <c r="H242" i="1" s="1"/>
  <c r="BO11" i="11"/>
  <c r="I242" i="1" s="1"/>
  <c r="BO12" i="11"/>
  <c r="J242" i="1" s="1"/>
  <c r="BO13" i="11"/>
  <c r="K242" i="1" s="1"/>
  <c r="BO14" i="11"/>
  <c r="L242" i="1" s="1"/>
  <c r="BO15" i="11"/>
  <c r="M242" i="1" s="1"/>
  <c r="BO16" i="11"/>
  <c r="N242" i="1" s="1"/>
  <c r="BO17" i="11"/>
  <c r="O242" i="1" s="1"/>
  <c r="BO18" i="11"/>
  <c r="P242" i="1" s="1"/>
  <c r="BN7" i="11"/>
  <c r="E241" i="1" s="1"/>
  <c r="BN8" i="11"/>
  <c r="F241" i="1" s="1"/>
  <c r="BN9" i="11"/>
  <c r="G241" i="1" s="1"/>
  <c r="BN10" i="11"/>
  <c r="H241" i="1" s="1"/>
  <c r="BN11" i="11"/>
  <c r="I241" i="1" s="1"/>
  <c r="BN12" i="11"/>
  <c r="J241" i="1" s="1"/>
  <c r="BN13" i="11"/>
  <c r="K241" i="1" s="1"/>
  <c r="BN14" i="11"/>
  <c r="L241" i="1" s="1"/>
  <c r="BN15" i="11"/>
  <c r="M241" i="1" s="1"/>
  <c r="BN16" i="11"/>
  <c r="N241" i="1" s="1"/>
  <c r="BN17" i="11"/>
  <c r="O241" i="1" s="1"/>
  <c r="BN18" i="11"/>
  <c r="P241" i="1" s="1"/>
  <c r="BM7" i="11"/>
  <c r="E240" i="1" s="1"/>
  <c r="BM8" i="11"/>
  <c r="F240" i="1" s="1"/>
  <c r="BM9" i="11"/>
  <c r="G240" i="1" s="1"/>
  <c r="BM10" i="11"/>
  <c r="H240" i="1" s="1"/>
  <c r="BM11" i="11"/>
  <c r="I240" i="1" s="1"/>
  <c r="BM12" i="11"/>
  <c r="J240" i="1" s="1"/>
  <c r="BM13" i="11"/>
  <c r="K240" i="1" s="1"/>
  <c r="BM14" i="11"/>
  <c r="L240" i="1" s="1"/>
  <c r="BM15" i="11"/>
  <c r="M240" i="1" s="1"/>
  <c r="BM16" i="11"/>
  <c r="N240" i="1" s="1"/>
  <c r="BM17" i="11"/>
  <c r="O240" i="1" s="1"/>
  <c r="BM18" i="11"/>
  <c r="P240" i="1" s="1"/>
  <c r="BR6" i="11"/>
  <c r="D247" i="1" s="1"/>
  <c r="BQ6" i="11"/>
  <c r="D246" i="1" s="1"/>
  <c r="BO6" i="11"/>
  <c r="D242" i="1" s="1"/>
  <c r="BN6" i="11"/>
  <c r="D241" i="1" s="1"/>
  <c r="BM6" i="11"/>
  <c r="D240" i="1" s="1"/>
  <c r="AI7" i="11"/>
  <c r="E233" i="1" s="1"/>
  <c r="AI8" i="11"/>
  <c r="F233" i="1" s="1"/>
  <c r="AI9" i="11"/>
  <c r="G233" i="1" s="1"/>
  <c r="AI10" i="11"/>
  <c r="H233" i="1" s="1"/>
  <c r="AI11" i="11"/>
  <c r="I233" i="1" s="1"/>
  <c r="AI12" i="11"/>
  <c r="J233" i="1" s="1"/>
  <c r="AI13" i="11"/>
  <c r="K233" i="1" s="1"/>
  <c r="AI14" i="11"/>
  <c r="L233" i="1" s="1"/>
  <c r="AI15" i="11"/>
  <c r="M233" i="1" s="1"/>
  <c r="AI16" i="11"/>
  <c r="N233" i="1" s="1"/>
  <c r="AI17" i="11"/>
  <c r="O233" i="1" s="1"/>
  <c r="AI18" i="11"/>
  <c r="P233" i="1" s="1"/>
  <c r="AF7" i="11"/>
  <c r="E234" i="1" s="1"/>
  <c r="AF8" i="11"/>
  <c r="F234" i="1" s="1"/>
  <c r="AF9" i="11"/>
  <c r="G234" i="1" s="1"/>
  <c r="AF10" i="11"/>
  <c r="H234" i="1" s="1"/>
  <c r="AF11" i="11"/>
  <c r="I234" i="1" s="1"/>
  <c r="AF12" i="11"/>
  <c r="J234" i="1" s="1"/>
  <c r="AF13" i="11"/>
  <c r="K234" i="1" s="1"/>
  <c r="AF14" i="11"/>
  <c r="L234" i="1" s="1"/>
  <c r="AF15" i="11"/>
  <c r="M234" i="1" s="1"/>
  <c r="AF16" i="11"/>
  <c r="N234" i="1" s="1"/>
  <c r="AF17" i="11"/>
  <c r="O234" i="1" s="1"/>
  <c r="AF18" i="11"/>
  <c r="P234" i="1" s="1"/>
  <c r="AG7" i="11"/>
  <c r="E235" i="1" s="1"/>
  <c r="AG8" i="11"/>
  <c r="F235" i="1" s="1"/>
  <c r="AG9" i="11"/>
  <c r="G235" i="1" s="1"/>
  <c r="AG10" i="11"/>
  <c r="H235" i="1" s="1"/>
  <c r="AG11" i="11"/>
  <c r="I235" i="1" s="1"/>
  <c r="AG12" i="11"/>
  <c r="J235" i="1" s="1"/>
  <c r="AG13" i="11"/>
  <c r="K235" i="1" s="1"/>
  <c r="AG14" i="11"/>
  <c r="L235" i="1" s="1"/>
  <c r="AG15" i="11"/>
  <c r="M235" i="1" s="1"/>
  <c r="AG16" i="11"/>
  <c r="N235" i="1" s="1"/>
  <c r="AG17" i="11"/>
  <c r="O235" i="1" s="1"/>
  <c r="AG18" i="11"/>
  <c r="P235" i="1" s="1"/>
  <c r="AG6" i="11"/>
  <c r="D235" i="1" s="1"/>
  <c r="AI6" i="11"/>
  <c r="D233" i="1" s="1"/>
  <c r="AE7" i="11"/>
  <c r="E232" i="1" s="1"/>
  <c r="AE8" i="11"/>
  <c r="F232" i="1" s="1"/>
  <c r="AE9" i="11"/>
  <c r="G232" i="1" s="1"/>
  <c r="AE10" i="11"/>
  <c r="H232" i="1" s="1"/>
  <c r="AE11" i="11"/>
  <c r="I232" i="1" s="1"/>
  <c r="AE12" i="11"/>
  <c r="J232" i="1" s="1"/>
  <c r="AE13" i="11"/>
  <c r="K232" i="1" s="1"/>
  <c r="AE14" i="11"/>
  <c r="L232" i="1" s="1"/>
  <c r="AE15" i="11"/>
  <c r="M232" i="1" s="1"/>
  <c r="AE16" i="11"/>
  <c r="N232" i="1" s="1"/>
  <c r="AE17" i="11"/>
  <c r="O232" i="1" s="1"/>
  <c r="AE18" i="11"/>
  <c r="P232" i="1" s="1"/>
  <c r="AE6" i="11"/>
  <c r="D232" i="1" s="1"/>
  <c r="AH7" i="11"/>
  <c r="E231" i="1" s="1"/>
  <c r="AH8" i="11"/>
  <c r="F231" i="1" s="1"/>
  <c r="AH9" i="11"/>
  <c r="G231" i="1" s="1"/>
  <c r="AH10" i="11"/>
  <c r="H231" i="1" s="1"/>
  <c r="AH11" i="11"/>
  <c r="I231" i="1" s="1"/>
  <c r="AH12" i="11"/>
  <c r="J231" i="1" s="1"/>
  <c r="AH13" i="11"/>
  <c r="K231" i="1" s="1"/>
  <c r="AH14" i="11"/>
  <c r="L231" i="1" s="1"/>
  <c r="AH15" i="11"/>
  <c r="M231" i="1" s="1"/>
  <c r="AH16" i="11"/>
  <c r="N231" i="1" s="1"/>
  <c r="AH17" i="11"/>
  <c r="O231" i="1" s="1"/>
  <c r="AH18" i="11"/>
  <c r="P231" i="1" s="1"/>
  <c r="AH6" i="11"/>
  <c r="D231" i="1" s="1"/>
  <c r="AD7" i="11"/>
  <c r="E230" i="1" s="1"/>
  <c r="AD8" i="11"/>
  <c r="F230" i="1" s="1"/>
  <c r="AD9" i="11"/>
  <c r="G230" i="1" s="1"/>
  <c r="AD10" i="11"/>
  <c r="H230" i="1" s="1"/>
  <c r="AD11" i="11"/>
  <c r="I230" i="1" s="1"/>
  <c r="AD12" i="11"/>
  <c r="J230" i="1" s="1"/>
  <c r="AD13" i="11"/>
  <c r="K230" i="1" s="1"/>
  <c r="AD14" i="11"/>
  <c r="L230" i="1" s="1"/>
  <c r="AD15" i="11"/>
  <c r="M230" i="1" s="1"/>
  <c r="AD16" i="11"/>
  <c r="N230" i="1" s="1"/>
  <c r="AD17" i="11"/>
  <c r="O230" i="1" s="1"/>
  <c r="AD18" i="11"/>
  <c r="P230" i="1" s="1"/>
  <c r="AC7" i="11"/>
  <c r="E229" i="1" s="1"/>
  <c r="AC8" i="11"/>
  <c r="F229" i="1" s="1"/>
  <c r="AC9" i="11"/>
  <c r="G229" i="1" s="1"/>
  <c r="AC10" i="11"/>
  <c r="H229" i="1" s="1"/>
  <c r="AC11" i="11"/>
  <c r="I229" i="1" s="1"/>
  <c r="AC12" i="11"/>
  <c r="J229" i="1" s="1"/>
  <c r="AC13" i="11"/>
  <c r="K229" i="1" s="1"/>
  <c r="AC14" i="11"/>
  <c r="L229" i="1" s="1"/>
  <c r="AC15" i="11"/>
  <c r="M229" i="1" s="1"/>
  <c r="AC16" i="11"/>
  <c r="N229" i="1" s="1"/>
  <c r="AC17" i="11"/>
  <c r="O229" i="1" s="1"/>
  <c r="AC18" i="11"/>
  <c r="P229" i="1" s="1"/>
  <c r="AB7" i="11"/>
  <c r="E228" i="1" s="1"/>
  <c r="AB8" i="11"/>
  <c r="F228" i="1" s="1"/>
  <c r="AB9" i="11"/>
  <c r="G228" i="1" s="1"/>
  <c r="AB10" i="11"/>
  <c r="H228" i="1" s="1"/>
  <c r="AB11" i="11"/>
  <c r="I228" i="1" s="1"/>
  <c r="AB12" i="11"/>
  <c r="J228" i="1" s="1"/>
  <c r="AB13" i="11"/>
  <c r="K228" i="1" s="1"/>
  <c r="AB14" i="11"/>
  <c r="L228" i="1" s="1"/>
  <c r="AB15" i="11"/>
  <c r="M228" i="1" s="1"/>
  <c r="AB16" i="11"/>
  <c r="N228" i="1" s="1"/>
  <c r="AB17" i="11"/>
  <c r="O228" i="1" s="1"/>
  <c r="AB18" i="11"/>
  <c r="P228" i="1" s="1"/>
  <c r="AF6" i="11"/>
  <c r="D234" i="1" s="1"/>
  <c r="AD6" i="11"/>
  <c r="D230" i="1" s="1"/>
  <c r="AC6" i="11"/>
  <c r="D229" i="1" s="1"/>
  <c r="AB6" i="11"/>
  <c r="D228" i="1" s="1"/>
  <c r="Q235" i="1"/>
  <c r="Q234" i="1"/>
  <c r="Q233" i="1"/>
  <c r="Q230" i="1"/>
  <c r="Q229" i="1"/>
  <c r="Q228" i="1"/>
  <c r="Q211" i="1"/>
  <c r="Q210" i="1"/>
  <c r="Q209" i="1"/>
  <c r="Q206" i="1"/>
  <c r="Q205" i="1"/>
  <c r="Q204" i="1"/>
  <c r="BS7" i="10"/>
  <c r="E223" i="1" s="1"/>
  <c r="BS8" i="10"/>
  <c r="F223" i="1" s="1"/>
  <c r="BS9" i="10"/>
  <c r="G223" i="1" s="1"/>
  <c r="BS10" i="10"/>
  <c r="H223" i="1" s="1"/>
  <c r="BS11" i="10"/>
  <c r="I223" i="1" s="1"/>
  <c r="BS12" i="10"/>
  <c r="J223" i="1" s="1"/>
  <c r="BS13" i="10"/>
  <c r="K223" i="1" s="1"/>
  <c r="BS14" i="10"/>
  <c r="L223" i="1" s="1"/>
  <c r="BS15" i="10"/>
  <c r="M223" i="1" s="1"/>
  <c r="BS16" i="10"/>
  <c r="N223" i="1" s="1"/>
  <c r="BS17" i="10"/>
  <c r="O223" i="1" s="1"/>
  <c r="BS18" i="10"/>
  <c r="P223" i="1" s="1"/>
  <c r="BR7" i="10"/>
  <c r="E222" i="1" s="1"/>
  <c r="BR8" i="10"/>
  <c r="F222" i="1" s="1"/>
  <c r="BR9" i="10"/>
  <c r="G222" i="1" s="1"/>
  <c r="BR10" i="10"/>
  <c r="H222" i="1" s="1"/>
  <c r="BR11" i="10"/>
  <c r="I222" i="1" s="1"/>
  <c r="BR12" i="10"/>
  <c r="J222" i="1" s="1"/>
  <c r="BR13" i="10"/>
  <c r="K222" i="1" s="1"/>
  <c r="BR14" i="10"/>
  <c r="L222" i="1" s="1"/>
  <c r="BR15" i="10"/>
  <c r="M222" i="1" s="1"/>
  <c r="BR16" i="10"/>
  <c r="N222" i="1" s="1"/>
  <c r="BR17" i="10"/>
  <c r="O222" i="1" s="1"/>
  <c r="BR18" i="10"/>
  <c r="P222" i="1" s="1"/>
  <c r="BU7" i="10"/>
  <c r="E221" i="1" s="1"/>
  <c r="BU8" i="10"/>
  <c r="F221" i="1" s="1"/>
  <c r="BU9" i="10"/>
  <c r="G221" i="1" s="1"/>
  <c r="BU10" i="10"/>
  <c r="H221" i="1" s="1"/>
  <c r="BU11" i="10"/>
  <c r="I221" i="1" s="1"/>
  <c r="BU12" i="10"/>
  <c r="J221" i="1" s="1"/>
  <c r="BU13" i="10"/>
  <c r="K221" i="1" s="1"/>
  <c r="BU14" i="10"/>
  <c r="L221" i="1" s="1"/>
  <c r="BU15" i="10"/>
  <c r="M221" i="1" s="1"/>
  <c r="BU16" i="10"/>
  <c r="N221" i="1" s="1"/>
  <c r="BU17" i="10"/>
  <c r="O221" i="1" s="1"/>
  <c r="BU18" i="10"/>
  <c r="P221" i="1" s="1"/>
  <c r="BU6" i="10"/>
  <c r="D221" i="1" s="1"/>
  <c r="BQ7" i="10"/>
  <c r="E220" i="1" s="1"/>
  <c r="BQ8" i="10"/>
  <c r="F220" i="1" s="1"/>
  <c r="BQ9" i="10"/>
  <c r="G220" i="1" s="1"/>
  <c r="BQ10" i="10"/>
  <c r="H220" i="1" s="1"/>
  <c r="BQ11" i="10"/>
  <c r="I220" i="1" s="1"/>
  <c r="BQ12" i="10"/>
  <c r="J220" i="1" s="1"/>
  <c r="BQ13" i="10"/>
  <c r="K220" i="1" s="1"/>
  <c r="BQ14" i="10"/>
  <c r="L220" i="1" s="1"/>
  <c r="BQ15" i="10"/>
  <c r="M220" i="1" s="1"/>
  <c r="BQ16" i="10"/>
  <c r="N220" i="1" s="1"/>
  <c r="BQ17" i="10"/>
  <c r="O220" i="1" s="1"/>
  <c r="BQ18" i="10"/>
  <c r="P220" i="1" s="1"/>
  <c r="BQ6" i="10"/>
  <c r="D220" i="1" s="1"/>
  <c r="BT7" i="10"/>
  <c r="E219" i="1" s="1"/>
  <c r="BT8" i="10"/>
  <c r="F219" i="1" s="1"/>
  <c r="BT9" i="10"/>
  <c r="G219" i="1" s="1"/>
  <c r="BT10" i="10"/>
  <c r="H219" i="1" s="1"/>
  <c r="BT11" i="10"/>
  <c r="I219" i="1" s="1"/>
  <c r="BT12" i="10"/>
  <c r="J219" i="1" s="1"/>
  <c r="BT13" i="10"/>
  <c r="K219" i="1" s="1"/>
  <c r="BT14" i="10"/>
  <c r="L219" i="1" s="1"/>
  <c r="BT15" i="10"/>
  <c r="M219" i="1" s="1"/>
  <c r="BT16" i="10"/>
  <c r="N219" i="1" s="1"/>
  <c r="BT17" i="10"/>
  <c r="O219" i="1" s="1"/>
  <c r="BT18" i="10"/>
  <c r="P219" i="1" s="1"/>
  <c r="BT6" i="10"/>
  <c r="D219" i="1" s="1"/>
  <c r="BP7" i="10"/>
  <c r="E218" i="1" s="1"/>
  <c r="BP8" i="10"/>
  <c r="F218" i="1" s="1"/>
  <c r="BP9" i="10"/>
  <c r="G218" i="1" s="1"/>
  <c r="BP10" i="10"/>
  <c r="H218" i="1" s="1"/>
  <c r="BP11" i="10"/>
  <c r="I218" i="1" s="1"/>
  <c r="BP12" i="10"/>
  <c r="J218" i="1" s="1"/>
  <c r="BP13" i="10"/>
  <c r="K218" i="1" s="1"/>
  <c r="BP14" i="10"/>
  <c r="L218" i="1" s="1"/>
  <c r="BP15" i="10"/>
  <c r="M218" i="1" s="1"/>
  <c r="BP16" i="10"/>
  <c r="N218" i="1" s="1"/>
  <c r="BP17" i="10"/>
  <c r="O218" i="1" s="1"/>
  <c r="BP18" i="10"/>
  <c r="P218" i="1" s="1"/>
  <c r="BO7" i="10"/>
  <c r="E217" i="1" s="1"/>
  <c r="BO8" i="10"/>
  <c r="F217" i="1" s="1"/>
  <c r="BO9" i="10"/>
  <c r="G217" i="1" s="1"/>
  <c r="BO10" i="10"/>
  <c r="H217" i="1" s="1"/>
  <c r="BO11" i="10"/>
  <c r="I217" i="1" s="1"/>
  <c r="BO12" i="10"/>
  <c r="J217" i="1" s="1"/>
  <c r="BO13" i="10"/>
  <c r="K217" i="1" s="1"/>
  <c r="BO14" i="10"/>
  <c r="L217" i="1" s="1"/>
  <c r="BO15" i="10"/>
  <c r="M217" i="1" s="1"/>
  <c r="BO16" i="10"/>
  <c r="N217" i="1" s="1"/>
  <c r="BO17" i="10"/>
  <c r="O217" i="1" s="1"/>
  <c r="BO18" i="10"/>
  <c r="P217" i="1" s="1"/>
  <c r="BN7" i="10"/>
  <c r="E216" i="1" s="1"/>
  <c r="BN8" i="10"/>
  <c r="F216" i="1" s="1"/>
  <c r="BN9" i="10"/>
  <c r="G216" i="1" s="1"/>
  <c r="BN10" i="10"/>
  <c r="H216" i="1" s="1"/>
  <c r="BN11" i="10"/>
  <c r="I216" i="1" s="1"/>
  <c r="BN12" i="10"/>
  <c r="J216" i="1" s="1"/>
  <c r="BN13" i="10"/>
  <c r="K216" i="1" s="1"/>
  <c r="BN14" i="10"/>
  <c r="L216" i="1" s="1"/>
  <c r="BN15" i="10"/>
  <c r="M216" i="1" s="1"/>
  <c r="BN16" i="10"/>
  <c r="N216" i="1" s="1"/>
  <c r="BN17" i="10"/>
  <c r="O216" i="1" s="1"/>
  <c r="BN18" i="10"/>
  <c r="P216" i="1" s="1"/>
  <c r="BS6" i="10"/>
  <c r="D223" i="1" s="1"/>
  <c r="D222" i="1"/>
  <c r="BP6" i="10"/>
  <c r="D218" i="1" s="1"/>
  <c r="BO6" i="10"/>
  <c r="D217" i="1" s="1"/>
  <c r="BN6" i="10"/>
  <c r="D216" i="1" s="1"/>
  <c r="AG7" i="10"/>
  <c r="E211" i="1" s="1"/>
  <c r="AG8" i="10"/>
  <c r="F211" i="1" s="1"/>
  <c r="AG9" i="10"/>
  <c r="G211" i="1" s="1"/>
  <c r="AG10" i="10"/>
  <c r="H211" i="1" s="1"/>
  <c r="AG11" i="10"/>
  <c r="I211" i="1" s="1"/>
  <c r="AG12" i="10"/>
  <c r="J211" i="1" s="1"/>
  <c r="AG13" i="10"/>
  <c r="K211" i="1" s="1"/>
  <c r="AG14" i="10"/>
  <c r="L211" i="1" s="1"/>
  <c r="AG15" i="10"/>
  <c r="M211" i="1" s="1"/>
  <c r="AG16" i="10"/>
  <c r="N211" i="1" s="1"/>
  <c r="AG17" i="10"/>
  <c r="O211" i="1" s="1"/>
  <c r="AG18" i="10"/>
  <c r="P211" i="1" s="1"/>
  <c r="AF7" i="10"/>
  <c r="E210" i="1" s="1"/>
  <c r="AF8" i="10"/>
  <c r="F210" i="1" s="1"/>
  <c r="AF9" i="10"/>
  <c r="G210" i="1" s="1"/>
  <c r="AF10" i="10"/>
  <c r="H210" i="1" s="1"/>
  <c r="AF11" i="10"/>
  <c r="I210" i="1" s="1"/>
  <c r="AF12" i="10"/>
  <c r="J210" i="1" s="1"/>
  <c r="AF13" i="10"/>
  <c r="K210" i="1" s="1"/>
  <c r="AF14" i="10"/>
  <c r="L210" i="1" s="1"/>
  <c r="AF15" i="10"/>
  <c r="M210" i="1" s="1"/>
  <c r="AF16" i="10"/>
  <c r="N210" i="1" s="1"/>
  <c r="AF17" i="10"/>
  <c r="O210" i="1" s="1"/>
  <c r="AI7" i="10"/>
  <c r="E209" i="1" s="1"/>
  <c r="AI8" i="10"/>
  <c r="F209" i="1" s="1"/>
  <c r="AI9" i="10"/>
  <c r="G209" i="1" s="1"/>
  <c r="AI10" i="10"/>
  <c r="H209" i="1" s="1"/>
  <c r="AI11" i="10"/>
  <c r="I209" i="1" s="1"/>
  <c r="AI12" i="10"/>
  <c r="J209" i="1" s="1"/>
  <c r="AI13" i="10"/>
  <c r="K209" i="1" s="1"/>
  <c r="AI14" i="10"/>
  <c r="L209" i="1" s="1"/>
  <c r="AI15" i="10"/>
  <c r="M209" i="1" s="1"/>
  <c r="AI16" i="10"/>
  <c r="N209" i="1" s="1"/>
  <c r="AI17" i="10"/>
  <c r="O209" i="1" s="1"/>
  <c r="AI18" i="10"/>
  <c r="P209" i="1" s="1"/>
  <c r="AI6" i="10"/>
  <c r="D209" i="1" s="1"/>
  <c r="AE7" i="10"/>
  <c r="E208" i="1" s="1"/>
  <c r="AE8" i="10"/>
  <c r="F208" i="1" s="1"/>
  <c r="AE9" i="10"/>
  <c r="G208" i="1" s="1"/>
  <c r="AE10" i="10"/>
  <c r="H208" i="1" s="1"/>
  <c r="AE11" i="10"/>
  <c r="I208" i="1" s="1"/>
  <c r="AE12" i="10"/>
  <c r="J208" i="1" s="1"/>
  <c r="AE13" i="10"/>
  <c r="K208" i="1" s="1"/>
  <c r="AE14" i="10"/>
  <c r="L208" i="1" s="1"/>
  <c r="AE15" i="10"/>
  <c r="M208" i="1" s="1"/>
  <c r="AE16" i="10"/>
  <c r="N208" i="1" s="1"/>
  <c r="AE17" i="10"/>
  <c r="O208" i="1" s="1"/>
  <c r="AE18" i="10"/>
  <c r="P208" i="1" s="1"/>
  <c r="AE6" i="10"/>
  <c r="D208" i="1" s="1"/>
  <c r="AH7" i="10"/>
  <c r="E207" i="1" s="1"/>
  <c r="AH8" i="10"/>
  <c r="F207" i="1" s="1"/>
  <c r="AH9" i="10"/>
  <c r="G207" i="1" s="1"/>
  <c r="AH10" i="10"/>
  <c r="H207" i="1" s="1"/>
  <c r="AH11" i="10"/>
  <c r="I207" i="1" s="1"/>
  <c r="AH12" i="10"/>
  <c r="J207" i="1" s="1"/>
  <c r="AH13" i="10"/>
  <c r="K207" i="1" s="1"/>
  <c r="AH14" i="10"/>
  <c r="L207" i="1" s="1"/>
  <c r="AH15" i="10"/>
  <c r="M207" i="1" s="1"/>
  <c r="AH16" i="10"/>
  <c r="N207" i="1" s="1"/>
  <c r="AH17" i="10"/>
  <c r="O207" i="1" s="1"/>
  <c r="AH18" i="10"/>
  <c r="P207" i="1" s="1"/>
  <c r="AH6" i="10"/>
  <c r="D207" i="1" s="1"/>
  <c r="AD7" i="10"/>
  <c r="E206" i="1" s="1"/>
  <c r="AD8" i="10"/>
  <c r="F206" i="1" s="1"/>
  <c r="AD9" i="10"/>
  <c r="G206" i="1" s="1"/>
  <c r="AD10" i="10"/>
  <c r="H206" i="1" s="1"/>
  <c r="AD11" i="10"/>
  <c r="I206" i="1" s="1"/>
  <c r="AD12" i="10"/>
  <c r="J206" i="1" s="1"/>
  <c r="AD13" i="10"/>
  <c r="K206" i="1" s="1"/>
  <c r="AD14" i="10"/>
  <c r="L206" i="1" s="1"/>
  <c r="AD15" i="10"/>
  <c r="M206" i="1" s="1"/>
  <c r="AD16" i="10"/>
  <c r="N206" i="1" s="1"/>
  <c r="AD17" i="10"/>
  <c r="O206" i="1" s="1"/>
  <c r="AD18" i="10"/>
  <c r="P206" i="1" s="1"/>
  <c r="AC7" i="10"/>
  <c r="E205" i="1" s="1"/>
  <c r="AC8" i="10"/>
  <c r="F205" i="1" s="1"/>
  <c r="AC9" i="10"/>
  <c r="G205" i="1" s="1"/>
  <c r="AC10" i="10"/>
  <c r="H205" i="1" s="1"/>
  <c r="AC11" i="10"/>
  <c r="I205" i="1" s="1"/>
  <c r="AC12" i="10"/>
  <c r="J205" i="1" s="1"/>
  <c r="AC13" i="10"/>
  <c r="K205" i="1" s="1"/>
  <c r="AC14" i="10"/>
  <c r="L205" i="1" s="1"/>
  <c r="AC15" i="10"/>
  <c r="M205" i="1" s="1"/>
  <c r="AC16" i="10"/>
  <c r="N205" i="1" s="1"/>
  <c r="AC17" i="10"/>
  <c r="O205" i="1" s="1"/>
  <c r="AC18" i="10"/>
  <c r="P205" i="1" s="1"/>
  <c r="AB7" i="10"/>
  <c r="AB8" i="10"/>
  <c r="AB9" i="10"/>
  <c r="AB10" i="10"/>
  <c r="AB11" i="10"/>
  <c r="AB12" i="10"/>
  <c r="AB13" i="10"/>
  <c r="AB14" i="10"/>
  <c r="AB15" i="10"/>
  <c r="AB16" i="10"/>
  <c r="AB17" i="10"/>
  <c r="AB18" i="10"/>
  <c r="AG6" i="10"/>
  <c r="D211" i="1" s="1"/>
  <c r="AF18" i="10"/>
  <c r="P210" i="1" s="1"/>
  <c r="AF6" i="10"/>
  <c r="D210" i="1" s="1"/>
  <c r="AD6" i="10"/>
  <c r="D206" i="1" s="1"/>
  <c r="AC6" i="10"/>
  <c r="D205" i="1" s="1"/>
  <c r="AB6" i="10"/>
  <c r="BS7" i="8"/>
  <c r="E199" i="1" s="1"/>
  <c r="BS8" i="8"/>
  <c r="F199" i="1" s="1"/>
  <c r="BS9" i="8"/>
  <c r="G199" i="1" s="1"/>
  <c r="BS10" i="8"/>
  <c r="H199" i="1" s="1"/>
  <c r="BS11" i="8"/>
  <c r="I199" i="1" s="1"/>
  <c r="BS12" i="8"/>
  <c r="J199" i="1" s="1"/>
  <c r="BS13" i="8"/>
  <c r="K199" i="1" s="1"/>
  <c r="BS14" i="8"/>
  <c r="L199" i="1" s="1"/>
  <c r="BS15" i="8"/>
  <c r="M199" i="1" s="1"/>
  <c r="BS16" i="8"/>
  <c r="N199" i="1" s="1"/>
  <c r="BS17" i="8"/>
  <c r="O199" i="1" s="1"/>
  <c r="BS18" i="8"/>
  <c r="P199" i="1" s="1"/>
  <c r="BR7" i="8"/>
  <c r="E198" i="1" s="1"/>
  <c r="BR8" i="8"/>
  <c r="F198" i="1" s="1"/>
  <c r="BR9" i="8"/>
  <c r="G198" i="1" s="1"/>
  <c r="BR10" i="8"/>
  <c r="H198" i="1" s="1"/>
  <c r="BR11" i="8"/>
  <c r="I198" i="1" s="1"/>
  <c r="BR12" i="8"/>
  <c r="J198" i="1" s="1"/>
  <c r="BR13" i="8"/>
  <c r="K198" i="1" s="1"/>
  <c r="BR14" i="8"/>
  <c r="L198" i="1" s="1"/>
  <c r="BR15" i="8"/>
  <c r="M198" i="1" s="1"/>
  <c r="BR16" i="8"/>
  <c r="N198" i="1" s="1"/>
  <c r="BR17" i="8"/>
  <c r="O198" i="1" s="1"/>
  <c r="BR18" i="8"/>
  <c r="P198" i="1" s="1"/>
  <c r="BU7" i="8"/>
  <c r="E197" i="1" s="1"/>
  <c r="BU8" i="8"/>
  <c r="F197" i="1" s="1"/>
  <c r="BU9" i="8"/>
  <c r="G197" i="1" s="1"/>
  <c r="BU10" i="8"/>
  <c r="H197" i="1" s="1"/>
  <c r="BU11" i="8"/>
  <c r="I197" i="1" s="1"/>
  <c r="BU12" i="8"/>
  <c r="J197" i="1" s="1"/>
  <c r="BU13" i="8"/>
  <c r="K197" i="1" s="1"/>
  <c r="BU14" i="8"/>
  <c r="L197" i="1" s="1"/>
  <c r="BU15" i="8"/>
  <c r="M197" i="1" s="1"/>
  <c r="BU16" i="8"/>
  <c r="N197" i="1" s="1"/>
  <c r="BU17" i="8"/>
  <c r="O197" i="1" s="1"/>
  <c r="BU18" i="8"/>
  <c r="P197" i="1" s="1"/>
  <c r="BU6" i="8"/>
  <c r="D197" i="1" s="1"/>
  <c r="BQ7" i="8"/>
  <c r="E196" i="1" s="1"/>
  <c r="BQ8" i="8"/>
  <c r="F196" i="1" s="1"/>
  <c r="BQ9" i="8"/>
  <c r="G196" i="1" s="1"/>
  <c r="BQ10" i="8"/>
  <c r="H196" i="1" s="1"/>
  <c r="BQ11" i="8"/>
  <c r="I196" i="1" s="1"/>
  <c r="BQ12" i="8"/>
  <c r="J196" i="1" s="1"/>
  <c r="BQ13" i="8"/>
  <c r="K196" i="1" s="1"/>
  <c r="BQ14" i="8"/>
  <c r="L196" i="1" s="1"/>
  <c r="BQ15" i="8"/>
  <c r="M196" i="1" s="1"/>
  <c r="BQ16" i="8"/>
  <c r="N196" i="1" s="1"/>
  <c r="BQ17" i="8"/>
  <c r="O196" i="1" s="1"/>
  <c r="BQ18" i="8"/>
  <c r="P196" i="1" s="1"/>
  <c r="BQ6" i="8"/>
  <c r="D196" i="1" s="1"/>
  <c r="BT7" i="8"/>
  <c r="E195" i="1" s="1"/>
  <c r="BT8" i="8"/>
  <c r="F195" i="1" s="1"/>
  <c r="BT9" i="8"/>
  <c r="G195" i="1" s="1"/>
  <c r="BT10" i="8"/>
  <c r="H195" i="1" s="1"/>
  <c r="BT11" i="8"/>
  <c r="I195" i="1" s="1"/>
  <c r="BT12" i="8"/>
  <c r="J195" i="1" s="1"/>
  <c r="BT13" i="8"/>
  <c r="K195" i="1" s="1"/>
  <c r="BT14" i="8"/>
  <c r="L195" i="1" s="1"/>
  <c r="BT15" i="8"/>
  <c r="M195" i="1" s="1"/>
  <c r="BT16" i="8"/>
  <c r="N195" i="1" s="1"/>
  <c r="BT17" i="8"/>
  <c r="O195" i="1" s="1"/>
  <c r="BT18" i="8"/>
  <c r="P195" i="1" s="1"/>
  <c r="BT6" i="8"/>
  <c r="D195" i="1" s="1"/>
  <c r="BP14" i="8"/>
  <c r="L194" i="1" s="1"/>
  <c r="BP7" i="8"/>
  <c r="E194" i="1" s="1"/>
  <c r="BP8" i="8"/>
  <c r="F194" i="1" s="1"/>
  <c r="BP9" i="8"/>
  <c r="G194" i="1" s="1"/>
  <c r="BP10" i="8"/>
  <c r="H194" i="1" s="1"/>
  <c r="BP11" i="8"/>
  <c r="I194" i="1" s="1"/>
  <c r="BP12" i="8"/>
  <c r="J194" i="1" s="1"/>
  <c r="BP13" i="8"/>
  <c r="K194" i="1" s="1"/>
  <c r="BP15" i="8"/>
  <c r="M194" i="1" s="1"/>
  <c r="BP16" i="8"/>
  <c r="N194" i="1" s="1"/>
  <c r="BP17" i="8"/>
  <c r="O194" i="1" s="1"/>
  <c r="BP18" i="8"/>
  <c r="P194" i="1" s="1"/>
  <c r="BO7" i="8"/>
  <c r="E193" i="1" s="1"/>
  <c r="BO8" i="8"/>
  <c r="F193" i="1" s="1"/>
  <c r="BO9" i="8"/>
  <c r="G193" i="1" s="1"/>
  <c r="BO10" i="8"/>
  <c r="H193" i="1" s="1"/>
  <c r="BO11" i="8"/>
  <c r="I193" i="1" s="1"/>
  <c r="BO12" i="8"/>
  <c r="J193" i="1" s="1"/>
  <c r="BO13" i="8"/>
  <c r="K193" i="1" s="1"/>
  <c r="BO14" i="8"/>
  <c r="L193" i="1" s="1"/>
  <c r="BO15" i="8"/>
  <c r="M193" i="1" s="1"/>
  <c r="BO16" i="8"/>
  <c r="N193" i="1" s="1"/>
  <c r="BO17" i="8"/>
  <c r="O193" i="1" s="1"/>
  <c r="BO18" i="8"/>
  <c r="P193" i="1" s="1"/>
  <c r="BN7" i="8"/>
  <c r="E192" i="1" s="1"/>
  <c r="BN9" i="8"/>
  <c r="G192" i="1" s="1"/>
  <c r="BN10" i="8"/>
  <c r="H192" i="1" s="1"/>
  <c r="BN11" i="8"/>
  <c r="I192" i="1" s="1"/>
  <c r="BN12" i="8"/>
  <c r="J192" i="1" s="1"/>
  <c r="BN13" i="8"/>
  <c r="K192" i="1" s="1"/>
  <c r="BN14" i="8"/>
  <c r="L192" i="1" s="1"/>
  <c r="BN15" i="8"/>
  <c r="M192" i="1" s="1"/>
  <c r="BN16" i="8"/>
  <c r="N192" i="1" s="1"/>
  <c r="BN17" i="8"/>
  <c r="O192" i="1" s="1"/>
  <c r="BN18" i="8"/>
  <c r="P192" i="1" s="1"/>
  <c r="BS6" i="8"/>
  <c r="D199" i="1" s="1"/>
  <c r="BR6" i="8"/>
  <c r="D198" i="1" s="1"/>
  <c r="BP6" i="8"/>
  <c r="D194" i="1" s="1"/>
  <c r="BO6" i="8"/>
  <c r="D193" i="1" s="1"/>
  <c r="BN6" i="8"/>
  <c r="D192" i="1" s="1"/>
  <c r="AH5" i="8"/>
  <c r="E187" i="1" s="1"/>
  <c r="AH6" i="8"/>
  <c r="F187" i="1" s="1"/>
  <c r="AH7" i="8"/>
  <c r="G187" i="1" s="1"/>
  <c r="AH8" i="8"/>
  <c r="H187" i="1" s="1"/>
  <c r="AH9" i="8"/>
  <c r="I187" i="1" s="1"/>
  <c r="AH10" i="8"/>
  <c r="J187" i="1" s="1"/>
  <c r="AH11" i="8"/>
  <c r="K187" i="1" s="1"/>
  <c r="AH12" i="8"/>
  <c r="L187" i="1" s="1"/>
  <c r="AH13" i="8"/>
  <c r="M187" i="1" s="1"/>
  <c r="AH14" i="8"/>
  <c r="N187" i="1" s="1"/>
  <c r="AH15" i="8"/>
  <c r="O187" i="1" s="1"/>
  <c r="AH16" i="8"/>
  <c r="P187" i="1" s="1"/>
  <c r="AG5" i="8"/>
  <c r="E186" i="1" s="1"/>
  <c r="AG6" i="8"/>
  <c r="F186" i="1" s="1"/>
  <c r="AG7" i="8"/>
  <c r="G186" i="1" s="1"/>
  <c r="AG8" i="8"/>
  <c r="H186" i="1" s="1"/>
  <c r="AG9" i="8"/>
  <c r="I186" i="1" s="1"/>
  <c r="AG10" i="8"/>
  <c r="J186" i="1" s="1"/>
  <c r="AG11" i="8"/>
  <c r="K186" i="1" s="1"/>
  <c r="AG12" i="8"/>
  <c r="L186" i="1" s="1"/>
  <c r="AG13" i="8"/>
  <c r="M186" i="1" s="1"/>
  <c r="AG14" i="8"/>
  <c r="N186" i="1" s="1"/>
  <c r="AG15" i="8"/>
  <c r="O186" i="1" s="1"/>
  <c r="AG16" i="8"/>
  <c r="P186" i="1" s="1"/>
  <c r="AI5" i="8"/>
  <c r="E183" i="1" s="1"/>
  <c r="AI6" i="8"/>
  <c r="F183" i="1" s="1"/>
  <c r="AI7" i="8"/>
  <c r="G183" i="1" s="1"/>
  <c r="AI8" i="8"/>
  <c r="H183" i="1" s="1"/>
  <c r="AI9" i="8"/>
  <c r="I183" i="1" s="1"/>
  <c r="AI10" i="8"/>
  <c r="J183" i="1" s="1"/>
  <c r="AI11" i="8"/>
  <c r="K183" i="1" s="1"/>
  <c r="AI12" i="8"/>
  <c r="L183" i="1" s="1"/>
  <c r="AI13" i="8"/>
  <c r="M183" i="1" s="1"/>
  <c r="AI14" i="8"/>
  <c r="N183" i="1" s="1"/>
  <c r="AI15" i="8"/>
  <c r="O183" i="1" s="1"/>
  <c r="AI16" i="8"/>
  <c r="P183" i="1" s="1"/>
  <c r="AF5" i="8"/>
  <c r="E184" i="1" s="1"/>
  <c r="AF6" i="8"/>
  <c r="F184" i="1" s="1"/>
  <c r="AF7" i="8"/>
  <c r="G184" i="1" s="1"/>
  <c r="AF8" i="8"/>
  <c r="H184" i="1" s="1"/>
  <c r="AF9" i="8"/>
  <c r="I184" i="1" s="1"/>
  <c r="AF10" i="8"/>
  <c r="J184" i="1" s="1"/>
  <c r="AF11" i="8"/>
  <c r="K184" i="1" s="1"/>
  <c r="AF12" i="8"/>
  <c r="L184" i="1" s="1"/>
  <c r="AF13" i="8"/>
  <c r="M184" i="1" s="1"/>
  <c r="AF14" i="8"/>
  <c r="N184" i="1" s="1"/>
  <c r="AF15" i="8"/>
  <c r="O184" i="1" s="1"/>
  <c r="AF16" i="8"/>
  <c r="P184" i="1" s="1"/>
  <c r="AJ5" i="8"/>
  <c r="E185" i="1" s="1"/>
  <c r="AJ6" i="8"/>
  <c r="F185" i="1" s="1"/>
  <c r="AJ7" i="8"/>
  <c r="G185" i="1" s="1"/>
  <c r="AJ8" i="8"/>
  <c r="H185" i="1" s="1"/>
  <c r="AJ9" i="8"/>
  <c r="I185" i="1" s="1"/>
  <c r="AJ10" i="8"/>
  <c r="J185" i="1" s="1"/>
  <c r="AJ11" i="8"/>
  <c r="K185" i="1" s="1"/>
  <c r="AJ12" i="8"/>
  <c r="L185" i="1" s="1"/>
  <c r="AJ13" i="8"/>
  <c r="M185" i="1" s="1"/>
  <c r="AJ14" i="8"/>
  <c r="N185" i="1" s="1"/>
  <c r="AJ15" i="8"/>
  <c r="O185" i="1" s="1"/>
  <c r="AJ16" i="8"/>
  <c r="P185" i="1" s="1"/>
  <c r="AJ4" i="8"/>
  <c r="D185" i="1" s="1"/>
  <c r="AF4" i="8"/>
  <c r="D184" i="1" s="1"/>
  <c r="AI4" i="8"/>
  <c r="D183" i="1" s="1"/>
  <c r="AE5" i="8"/>
  <c r="E182" i="1" s="1"/>
  <c r="AE6" i="8"/>
  <c r="F182" i="1" s="1"/>
  <c r="AE7" i="8"/>
  <c r="G182" i="1" s="1"/>
  <c r="AE8" i="8"/>
  <c r="H182" i="1" s="1"/>
  <c r="AE9" i="8"/>
  <c r="I182" i="1" s="1"/>
  <c r="AE10" i="8"/>
  <c r="J182" i="1" s="1"/>
  <c r="AE11" i="8"/>
  <c r="K182" i="1" s="1"/>
  <c r="AE12" i="8"/>
  <c r="L182" i="1" s="1"/>
  <c r="AE13" i="8"/>
  <c r="M182" i="1" s="1"/>
  <c r="AE14" i="8"/>
  <c r="N182" i="1" s="1"/>
  <c r="AE15" i="8"/>
  <c r="O182" i="1" s="1"/>
  <c r="AE16" i="8"/>
  <c r="P182" i="1" s="1"/>
  <c r="AD5" i="8"/>
  <c r="E181" i="1" s="1"/>
  <c r="AD6" i="8"/>
  <c r="F181" i="1" s="1"/>
  <c r="AD7" i="8"/>
  <c r="G181" i="1" s="1"/>
  <c r="AD8" i="8"/>
  <c r="H181" i="1" s="1"/>
  <c r="AD9" i="8"/>
  <c r="I181" i="1" s="1"/>
  <c r="AD10" i="8"/>
  <c r="J181" i="1" s="1"/>
  <c r="AD11" i="8"/>
  <c r="K181" i="1" s="1"/>
  <c r="AD12" i="8"/>
  <c r="L181" i="1" s="1"/>
  <c r="AD13" i="8"/>
  <c r="M181" i="1" s="1"/>
  <c r="AD14" i="8"/>
  <c r="N181" i="1" s="1"/>
  <c r="AD15" i="8"/>
  <c r="O181" i="1" s="1"/>
  <c r="AD16" i="8"/>
  <c r="P181" i="1" s="1"/>
  <c r="AC5" i="8"/>
  <c r="AC6" i="8"/>
  <c r="AC7" i="8"/>
  <c r="AC8" i="8"/>
  <c r="AC9" i="8"/>
  <c r="AC10" i="8"/>
  <c r="AC11" i="8"/>
  <c r="AC12" i="8"/>
  <c r="AC13" i="8"/>
  <c r="AC14" i="8"/>
  <c r="AC15" i="8"/>
  <c r="AC16" i="8"/>
  <c r="AC4" i="8"/>
  <c r="AH4" i="8"/>
  <c r="D187" i="1" s="1"/>
  <c r="AG4" i="8"/>
  <c r="D186" i="1" s="1"/>
  <c r="AE4" i="8"/>
  <c r="D182" i="1" s="1"/>
  <c r="AD4" i="8"/>
  <c r="D181" i="1" s="1"/>
  <c r="F6" i="8"/>
  <c r="AE143" i="6"/>
  <c r="F129" i="1" s="1"/>
  <c r="D129" i="1"/>
  <c r="D145" i="1"/>
  <c r="BW17" i="6"/>
  <c r="O141" i="1" s="1"/>
  <c r="BW6" i="6"/>
  <c r="D141" i="1" s="1"/>
  <c r="BS10" i="6"/>
  <c r="H140" i="1" s="1"/>
  <c r="BW7" i="6"/>
  <c r="E141" i="1" s="1"/>
  <c r="BU17" i="6"/>
  <c r="O143" i="1" s="1"/>
  <c r="BV13" i="6"/>
  <c r="K139" i="1" s="1"/>
  <c r="BT6" i="6"/>
  <c r="D142" i="1" s="1"/>
  <c r="BS6" i="6"/>
  <c r="D140" i="1" s="1"/>
  <c r="BR6" i="6"/>
  <c r="D138" i="1" s="1"/>
  <c r="BQ8" i="6"/>
  <c r="F137" i="1" s="1"/>
  <c r="BQ6" i="6"/>
  <c r="D137" i="1" s="1"/>
  <c r="BP6" i="6"/>
  <c r="BV16" i="6"/>
  <c r="N139" i="1" s="1"/>
  <c r="BW8" i="6"/>
  <c r="F141" i="1" s="1"/>
  <c r="BW9" i="6"/>
  <c r="G141" i="1" s="1"/>
  <c r="BW10" i="6"/>
  <c r="H141" i="1" s="1"/>
  <c r="BW11" i="6"/>
  <c r="I141" i="1" s="1"/>
  <c r="BW12" i="6"/>
  <c r="J141" i="1" s="1"/>
  <c r="BW13" i="6"/>
  <c r="K141" i="1" s="1"/>
  <c r="BW14" i="6"/>
  <c r="L141" i="1" s="1"/>
  <c r="BW15" i="6"/>
  <c r="M141" i="1" s="1"/>
  <c r="BW16" i="6"/>
  <c r="N141" i="1" s="1"/>
  <c r="BW18" i="6"/>
  <c r="P141" i="1" s="1"/>
  <c r="BV7" i="6"/>
  <c r="E139" i="1" s="1"/>
  <c r="BV8" i="6"/>
  <c r="F139" i="1" s="1"/>
  <c r="BV9" i="6"/>
  <c r="G139" i="1" s="1"/>
  <c r="BV10" i="6"/>
  <c r="H139" i="1" s="1"/>
  <c r="BV11" i="6"/>
  <c r="I139" i="1" s="1"/>
  <c r="BV12" i="6"/>
  <c r="J139" i="1" s="1"/>
  <c r="BV14" i="6"/>
  <c r="L139" i="1" s="1"/>
  <c r="BV15" i="6"/>
  <c r="M139" i="1" s="1"/>
  <c r="BV17" i="6"/>
  <c r="O139" i="1" s="1"/>
  <c r="BV18" i="6"/>
  <c r="P139" i="1" s="1"/>
  <c r="BV6" i="6"/>
  <c r="D139" i="1" s="1"/>
  <c r="BU14" i="6"/>
  <c r="L143" i="1" s="1"/>
  <c r="BU7" i="6"/>
  <c r="E143" i="1" s="1"/>
  <c r="BU8" i="6"/>
  <c r="F143" i="1" s="1"/>
  <c r="BU9" i="6"/>
  <c r="G143" i="1" s="1"/>
  <c r="BU10" i="6"/>
  <c r="H143" i="1" s="1"/>
  <c r="BU11" i="6"/>
  <c r="I143" i="1" s="1"/>
  <c r="BU12" i="6"/>
  <c r="J143" i="1" s="1"/>
  <c r="BU13" i="6"/>
  <c r="K143" i="1" s="1"/>
  <c r="BU15" i="6"/>
  <c r="M143" i="1" s="1"/>
  <c r="BU16" i="6"/>
  <c r="N143" i="1" s="1"/>
  <c r="BU18" i="6"/>
  <c r="P143" i="1" s="1"/>
  <c r="BU6" i="6"/>
  <c r="D143" i="1" s="1"/>
  <c r="BT7" i="6"/>
  <c r="E142" i="1" s="1"/>
  <c r="BT8" i="6"/>
  <c r="F142" i="1" s="1"/>
  <c r="BT9" i="6"/>
  <c r="G142" i="1" s="1"/>
  <c r="BT10" i="6"/>
  <c r="H142" i="1" s="1"/>
  <c r="BT11" i="6"/>
  <c r="I142" i="1" s="1"/>
  <c r="BT12" i="6"/>
  <c r="J142" i="1" s="1"/>
  <c r="BT13" i="6"/>
  <c r="K142" i="1" s="1"/>
  <c r="BT14" i="6"/>
  <c r="L142" i="1" s="1"/>
  <c r="BT15" i="6"/>
  <c r="M142" i="1" s="1"/>
  <c r="BT16" i="6"/>
  <c r="N142" i="1" s="1"/>
  <c r="BT17" i="6"/>
  <c r="O142" i="1" s="1"/>
  <c r="BT18" i="6"/>
  <c r="P142" i="1" s="1"/>
  <c r="BS7" i="6"/>
  <c r="E140" i="1" s="1"/>
  <c r="BS8" i="6"/>
  <c r="F140" i="1" s="1"/>
  <c r="BS9" i="6"/>
  <c r="G140" i="1" s="1"/>
  <c r="BS11" i="6"/>
  <c r="I140" i="1" s="1"/>
  <c r="BS12" i="6"/>
  <c r="J140" i="1" s="1"/>
  <c r="BS13" i="6"/>
  <c r="K140" i="1" s="1"/>
  <c r="BS14" i="6"/>
  <c r="L140" i="1" s="1"/>
  <c r="BS15" i="6"/>
  <c r="M140" i="1" s="1"/>
  <c r="BS16" i="6"/>
  <c r="N140" i="1" s="1"/>
  <c r="BS17" i="6"/>
  <c r="O140" i="1" s="1"/>
  <c r="BS18" i="6"/>
  <c r="P140" i="1" s="1"/>
  <c r="BR13" i="6"/>
  <c r="K138" i="1" s="1"/>
  <c r="BR7" i="6"/>
  <c r="E138" i="1" s="1"/>
  <c r="BR8" i="6"/>
  <c r="F138" i="1" s="1"/>
  <c r="BR9" i="6"/>
  <c r="G138" i="1" s="1"/>
  <c r="BR10" i="6"/>
  <c r="H138" i="1" s="1"/>
  <c r="BR11" i="6"/>
  <c r="I138" i="1" s="1"/>
  <c r="BR12" i="6"/>
  <c r="J138" i="1" s="1"/>
  <c r="BR14" i="6"/>
  <c r="L138" i="1" s="1"/>
  <c r="BR15" i="6"/>
  <c r="M138" i="1" s="1"/>
  <c r="BR16" i="6"/>
  <c r="N138" i="1" s="1"/>
  <c r="BR17" i="6"/>
  <c r="O138" i="1" s="1"/>
  <c r="BR18" i="6"/>
  <c r="P138" i="1" s="1"/>
  <c r="BQ12" i="6"/>
  <c r="J137" i="1" s="1"/>
  <c r="BQ7" i="6"/>
  <c r="E137" i="1" s="1"/>
  <c r="BQ9" i="6"/>
  <c r="G137" i="1" s="1"/>
  <c r="BQ10" i="6"/>
  <c r="H137" i="1" s="1"/>
  <c r="BQ11" i="6"/>
  <c r="I137" i="1" s="1"/>
  <c r="BQ13" i="6"/>
  <c r="K137" i="1" s="1"/>
  <c r="BQ14" i="6"/>
  <c r="L137" i="1" s="1"/>
  <c r="BQ15" i="6"/>
  <c r="M137" i="1" s="1"/>
  <c r="BQ16" i="6"/>
  <c r="N137" i="1" s="1"/>
  <c r="BQ17" i="6"/>
  <c r="O137" i="1" s="1"/>
  <c r="BQ18" i="6"/>
  <c r="P137" i="1" s="1"/>
  <c r="BP15" i="6"/>
  <c r="BP7" i="6"/>
  <c r="BP8" i="6"/>
  <c r="BP9" i="6"/>
  <c r="BP10" i="6"/>
  <c r="BP11" i="6"/>
  <c r="BP12" i="6"/>
  <c r="BP13" i="6"/>
  <c r="BP14" i="6"/>
  <c r="BP16" i="6"/>
  <c r="BP17" i="6"/>
  <c r="BP18" i="6"/>
  <c r="X14" i="6"/>
  <c r="N127" i="1" s="1"/>
  <c r="Z5" i="6"/>
  <c r="E125" i="1" s="1"/>
  <c r="Z6" i="6"/>
  <c r="F125" i="1" s="1"/>
  <c r="Z7" i="6"/>
  <c r="G125" i="1" s="1"/>
  <c r="Z8" i="6"/>
  <c r="H125" i="1" s="1"/>
  <c r="Z9" i="6"/>
  <c r="I125" i="1" s="1"/>
  <c r="Z10" i="6"/>
  <c r="J125" i="1" s="1"/>
  <c r="Z11" i="6"/>
  <c r="K125" i="1" s="1"/>
  <c r="Z12" i="6"/>
  <c r="L125" i="1" s="1"/>
  <c r="Z13" i="6"/>
  <c r="M125" i="1" s="1"/>
  <c r="Z14" i="6"/>
  <c r="N125" i="1" s="1"/>
  <c r="Z15" i="6"/>
  <c r="O125" i="1" s="1"/>
  <c r="Z16" i="6"/>
  <c r="P125" i="1" s="1"/>
  <c r="Z4" i="6"/>
  <c r="D125" i="1" s="1"/>
  <c r="Y12" i="6"/>
  <c r="L123" i="1" s="1"/>
  <c r="Y5" i="6"/>
  <c r="E123" i="1" s="1"/>
  <c r="Y6" i="6"/>
  <c r="F123" i="1" s="1"/>
  <c r="Y7" i="6"/>
  <c r="G123" i="1" s="1"/>
  <c r="Y8" i="6"/>
  <c r="H123" i="1" s="1"/>
  <c r="Y9" i="6"/>
  <c r="I123" i="1" s="1"/>
  <c r="Y10" i="6"/>
  <c r="J123" i="1" s="1"/>
  <c r="Y11" i="6"/>
  <c r="K123" i="1" s="1"/>
  <c r="Y13" i="6"/>
  <c r="M123" i="1" s="1"/>
  <c r="Y14" i="6"/>
  <c r="N123" i="1" s="1"/>
  <c r="Y15" i="6"/>
  <c r="O123" i="1" s="1"/>
  <c r="Y16" i="6"/>
  <c r="P123" i="1" s="1"/>
  <c r="Y4" i="6"/>
  <c r="D123" i="1" s="1"/>
  <c r="X5" i="6"/>
  <c r="E127" i="1" s="1"/>
  <c r="X6" i="6"/>
  <c r="F127" i="1" s="1"/>
  <c r="X7" i="6"/>
  <c r="G127" i="1" s="1"/>
  <c r="X8" i="6"/>
  <c r="H127" i="1" s="1"/>
  <c r="X9" i="6"/>
  <c r="I127" i="1" s="1"/>
  <c r="X10" i="6"/>
  <c r="J127" i="1" s="1"/>
  <c r="X11" i="6"/>
  <c r="K127" i="1" s="1"/>
  <c r="X12" i="6"/>
  <c r="L127" i="1" s="1"/>
  <c r="X13" i="6"/>
  <c r="M127" i="1" s="1"/>
  <c r="X15" i="6"/>
  <c r="O127" i="1" s="1"/>
  <c r="X16" i="6"/>
  <c r="P127" i="1" s="1"/>
  <c r="X4" i="6"/>
  <c r="D127" i="1" s="1"/>
  <c r="W5" i="6"/>
  <c r="E126" i="1" s="1"/>
  <c r="W6" i="6"/>
  <c r="F126" i="1" s="1"/>
  <c r="W7" i="6"/>
  <c r="G126" i="1" s="1"/>
  <c r="W8" i="6"/>
  <c r="H126" i="1" s="1"/>
  <c r="W9" i="6"/>
  <c r="I126" i="1" s="1"/>
  <c r="W10" i="6"/>
  <c r="J126" i="1" s="1"/>
  <c r="W11" i="6"/>
  <c r="K126" i="1" s="1"/>
  <c r="W12" i="6"/>
  <c r="L126" i="1" s="1"/>
  <c r="W13" i="6"/>
  <c r="M126" i="1" s="1"/>
  <c r="W14" i="6"/>
  <c r="N126" i="1" s="1"/>
  <c r="W15" i="6"/>
  <c r="O126" i="1" s="1"/>
  <c r="W16" i="6"/>
  <c r="P126" i="1" s="1"/>
  <c r="W4" i="6"/>
  <c r="D126" i="1" s="1"/>
  <c r="V5" i="6"/>
  <c r="E124" i="1" s="1"/>
  <c r="V6" i="6"/>
  <c r="F124" i="1" s="1"/>
  <c r="V7" i="6"/>
  <c r="G124" i="1" s="1"/>
  <c r="V8" i="6"/>
  <c r="H124" i="1" s="1"/>
  <c r="V9" i="6"/>
  <c r="I124" i="1" s="1"/>
  <c r="V10" i="6"/>
  <c r="J124" i="1" s="1"/>
  <c r="V11" i="6"/>
  <c r="K124" i="1" s="1"/>
  <c r="V12" i="6"/>
  <c r="L124" i="1" s="1"/>
  <c r="V13" i="6"/>
  <c r="M124" i="1" s="1"/>
  <c r="V14" i="6"/>
  <c r="N124" i="1" s="1"/>
  <c r="V15" i="6"/>
  <c r="O124" i="1" s="1"/>
  <c r="V16" i="6"/>
  <c r="P124" i="1" s="1"/>
  <c r="V4" i="6"/>
  <c r="D124" i="1" s="1"/>
  <c r="U12" i="6"/>
  <c r="L122" i="1" s="1"/>
  <c r="U5" i="6"/>
  <c r="E122" i="1" s="1"/>
  <c r="U6" i="6"/>
  <c r="F122" i="1" s="1"/>
  <c r="U7" i="6"/>
  <c r="G122" i="1" s="1"/>
  <c r="U8" i="6"/>
  <c r="H122" i="1" s="1"/>
  <c r="U9" i="6"/>
  <c r="I122" i="1" s="1"/>
  <c r="U10" i="6"/>
  <c r="J122" i="1" s="1"/>
  <c r="U11" i="6"/>
  <c r="K122" i="1" s="1"/>
  <c r="U13" i="6"/>
  <c r="M122" i="1" s="1"/>
  <c r="U14" i="6"/>
  <c r="N122" i="1" s="1"/>
  <c r="U15" i="6"/>
  <c r="O122" i="1" s="1"/>
  <c r="U16" i="6"/>
  <c r="P122" i="1" s="1"/>
  <c r="U4" i="6"/>
  <c r="D122" i="1" s="1"/>
  <c r="T5" i="6"/>
  <c r="E121" i="1" s="1"/>
  <c r="T6" i="6"/>
  <c r="F121" i="1" s="1"/>
  <c r="T7" i="6"/>
  <c r="G121" i="1" s="1"/>
  <c r="T8" i="6"/>
  <c r="H121" i="1" s="1"/>
  <c r="T9" i="6"/>
  <c r="I121" i="1" s="1"/>
  <c r="T10" i="6"/>
  <c r="J121" i="1" s="1"/>
  <c r="T11" i="6"/>
  <c r="K121" i="1" s="1"/>
  <c r="T12" i="6"/>
  <c r="L121" i="1" s="1"/>
  <c r="T13" i="6"/>
  <c r="M121" i="1" s="1"/>
  <c r="T14" i="6"/>
  <c r="N121" i="1" s="1"/>
  <c r="T15" i="6"/>
  <c r="O121" i="1" s="1"/>
  <c r="T16" i="6"/>
  <c r="P121" i="1" s="1"/>
  <c r="T4" i="6"/>
  <c r="D121" i="1" s="1"/>
  <c r="S15" i="6"/>
  <c r="O120" i="1" s="1"/>
  <c r="S5" i="6"/>
  <c r="S6" i="6"/>
  <c r="S7" i="6"/>
  <c r="S8" i="6"/>
  <c r="S9" i="6"/>
  <c r="S10" i="6"/>
  <c r="S11" i="6"/>
  <c r="S12" i="6"/>
  <c r="S13" i="6"/>
  <c r="S14" i="6"/>
  <c r="S16" i="6"/>
  <c r="S4" i="6"/>
  <c r="BJ6" i="5"/>
  <c r="E102" i="1" s="1"/>
  <c r="BJ7" i="5"/>
  <c r="F102" i="1" s="1"/>
  <c r="BJ8" i="5"/>
  <c r="G102" i="1" s="1"/>
  <c r="BJ9" i="5"/>
  <c r="H102" i="1" s="1"/>
  <c r="BJ10" i="5"/>
  <c r="I102" i="1" s="1"/>
  <c r="BJ11" i="5"/>
  <c r="J102" i="1" s="1"/>
  <c r="BJ12" i="5"/>
  <c r="K102" i="1" s="1"/>
  <c r="BJ13" i="5"/>
  <c r="L102" i="1" s="1"/>
  <c r="BJ14" i="5"/>
  <c r="M102" i="1" s="1"/>
  <c r="BJ15" i="5"/>
  <c r="N102" i="1" s="1"/>
  <c r="BJ16" i="5"/>
  <c r="O102" i="1" s="1"/>
  <c r="BJ17" i="5"/>
  <c r="P102" i="1" s="1"/>
  <c r="BJ5" i="5"/>
  <c r="D102" i="1" s="1"/>
  <c r="BI5" i="5"/>
  <c r="D100" i="1" s="1"/>
  <c r="BI6" i="5"/>
  <c r="E100" i="1" s="1"/>
  <c r="BI7" i="5"/>
  <c r="F100" i="1" s="1"/>
  <c r="BI8" i="5"/>
  <c r="G100" i="1" s="1"/>
  <c r="BI9" i="5"/>
  <c r="H100" i="1" s="1"/>
  <c r="BI10" i="5"/>
  <c r="I100" i="1" s="1"/>
  <c r="BI11" i="5"/>
  <c r="J100" i="1" s="1"/>
  <c r="BI12" i="5"/>
  <c r="K100" i="1" s="1"/>
  <c r="BI13" i="5"/>
  <c r="L100" i="1" s="1"/>
  <c r="BI14" i="5"/>
  <c r="M100" i="1" s="1"/>
  <c r="BI15" i="5"/>
  <c r="N100" i="1" s="1"/>
  <c r="BI16" i="5"/>
  <c r="O100" i="1" s="1"/>
  <c r="BI17" i="5"/>
  <c r="P100" i="1" s="1"/>
  <c r="BH6" i="5"/>
  <c r="E104" i="1" s="1"/>
  <c r="BH7" i="5"/>
  <c r="F104" i="1" s="1"/>
  <c r="BH8" i="5"/>
  <c r="G104" i="1" s="1"/>
  <c r="BH9" i="5"/>
  <c r="H104" i="1" s="1"/>
  <c r="BH10" i="5"/>
  <c r="I104" i="1" s="1"/>
  <c r="BH11" i="5"/>
  <c r="J104" i="1" s="1"/>
  <c r="BH12" i="5"/>
  <c r="K104" i="1" s="1"/>
  <c r="BH13" i="5"/>
  <c r="L104" i="1" s="1"/>
  <c r="BH14" i="5"/>
  <c r="M104" i="1" s="1"/>
  <c r="BH15" i="5"/>
  <c r="N104" i="1" s="1"/>
  <c r="BH16" i="5"/>
  <c r="O104" i="1" s="1"/>
  <c r="BH17" i="5"/>
  <c r="P104" i="1" s="1"/>
  <c r="BH5" i="5"/>
  <c r="D104" i="1" s="1"/>
  <c r="BG6" i="5"/>
  <c r="E103" i="1" s="1"/>
  <c r="BG7" i="5"/>
  <c r="F103" i="1" s="1"/>
  <c r="BG8" i="5"/>
  <c r="G103" i="1" s="1"/>
  <c r="BG9" i="5"/>
  <c r="H103" i="1" s="1"/>
  <c r="BG10" i="5"/>
  <c r="I103" i="1" s="1"/>
  <c r="BG11" i="5"/>
  <c r="J103" i="1" s="1"/>
  <c r="BG12" i="5"/>
  <c r="K103" i="1" s="1"/>
  <c r="BG13" i="5"/>
  <c r="L103" i="1" s="1"/>
  <c r="BG14" i="5"/>
  <c r="M103" i="1" s="1"/>
  <c r="BG15" i="5"/>
  <c r="N103" i="1" s="1"/>
  <c r="BG16" i="5"/>
  <c r="O103" i="1" s="1"/>
  <c r="BG17" i="5"/>
  <c r="P103" i="1" s="1"/>
  <c r="BG5" i="5"/>
  <c r="D103" i="1" s="1"/>
  <c r="BF6" i="5"/>
  <c r="E101" i="1" s="1"/>
  <c r="BF7" i="5"/>
  <c r="F101" i="1" s="1"/>
  <c r="BF8" i="5"/>
  <c r="G101" i="1" s="1"/>
  <c r="BF9" i="5"/>
  <c r="H101" i="1" s="1"/>
  <c r="BF10" i="5"/>
  <c r="I101" i="1" s="1"/>
  <c r="BF11" i="5"/>
  <c r="J101" i="1" s="1"/>
  <c r="BF12" i="5"/>
  <c r="K101" i="1" s="1"/>
  <c r="BF13" i="5"/>
  <c r="L101" i="1" s="1"/>
  <c r="BF14" i="5"/>
  <c r="M101" i="1" s="1"/>
  <c r="BF15" i="5"/>
  <c r="N101" i="1" s="1"/>
  <c r="BF16" i="5"/>
  <c r="O101" i="1" s="1"/>
  <c r="BF17" i="5"/>
  <c r="P101" i="1" s="1"/>
  <c r="BF5" i="5"/>
  <c r="D101" i="1" s="1"/>
  <c r="BE6" i="5"/>
  <c r="E99" i="1" s="1"/>
  <c r="BE7" i="5"/>
  <c r="F99" i="1" s="1"/>
  <c r="BE8" i="5"/>
  <c r="G99" i="1" s="1"/>
  <c r="BE9" i="5"/>
  <c r="H99" i="1" s="1"/>
  <c r="BE10" i="5"/>
  <c r="I99" i="1" s="1"/>
  <c r="BE11" i="5"/>
  <c r="J99" i="1" s="1"/>
  <c r="BE12" i="5"/>
  <c r="K99" i="1" s="1"/>
  <c r="BE13" i="5"/>
  <c r="L99" i="1" s="1"/>
  <c r="BE14" i="5"/>
  <c r="M99" i="1" s="1"/>
  <c r="BE15" i="5"/>
  <c r="N99" i="1" s="1"/>
  <c r="BE16" i="5"/>
  <c r="O99" i="1" s="1"/>
  <c r="BE17" i="5"/>
  <c r="P99" i="1" s="1"/>
  <c r="BE5" i="5"/>
  <c r="D99" i="1" s="1"/>
  <c r="BC6" i="5"/>
  <c r="BC7" i="5"/>
  <c r="BC8" i="5"/>
  <c r="BC9" i="5"/>
  <c r="BC10" i="5"/>
  <c r="BC11" i="5"/>
  <c r="BC12" i="5"/>
  <c r="BC13" i="5"/>
  <c r="BC14" i="5"/>
  <c r="BC15" i="5"/>
  <c r="BC16" i="5"/>
  <c r="BC17" i="5"/>
  <c r="BD6" i="5"/>
  <c r="E98" i="1" s="1"/>
  <c r="BD7" i="5"/>
  <c r="F98" i="1" s="1"/>
  <c r="BD8" i="5"/>
  <c r="G98" i="1" s="1"/>
  <c r="BD9" i="5"/>
  <c r="H98" i="1" s="1"/>
  <c r="BD10" i="5"/>
  <c r="I98" i="1" s="1"/>
  <c r="BD11" i="5"/>
  <c r="J98" i="1" s="1"/>
  <c r="BD12" i="5"/>
  <c r="K98" i="1" s="1"/>
  <c r="BD13" i="5"/>
  <c r="L98" i="1" s="1"/>
  <c r="BD14" i="5"/>
  <c r="M98" i="1" s="1"/>
  <c r="BD15" i="5"/>
  <c r="N98" i="1" s="1"/>
  <c r="BD16" i="5"/>
  <c r="O98" i="1" s="1"/>
  <c r="BD17" i="5"/>
  <c r="P98" i="1" s="1"/>
  <c r="BD5" i="5"/>
  <c r="D98" i="1" s="1"/>
  <c r="AN6" i="5"/>
  <c r="E113" i="1" s="1"/>
  <c r="AN7" i="5"/>
  <c r="F113" i="1" s="1"/>
  <c r="AN8" i="5"/>
  <c r="G113" i="1" s="1"/>
  <c r="AN9" i="5"/>
  <c r="H113" i="1" s="1"/>
  <c r="AN10" i="5"/>
  <c r="I113" i="1" s="1"/>
  <c r="AN11" i="5"/>
  <c r="J113" i="1" s="1"/>
  <c r="AN12" i="5"/>
  <c r="K113" i="1" s="1"/>
  <c r="AN13" i="5"/>
  <c r="L113" i="1" s="1"/>
  <c r="AN14" i="5"/>
  <c r="M113" i="1" s="1"/>
  <c r="AN15" i="5"/>
  <c r="N113" i="1" s="1"/>
  <c r="AN16" i="5"/>
  <c r="O113" i="1" s="1"/>
  <c r="AN17" i="5"/>
  <c r="P113" i="1" s="1"/>
  <c r="AM6" i="5"/>
  <c r="E111" i="1" s="1"/>
  <c r="AM7" i="5"/>
  <c r="F111" i="1" s="1"/>
  <c r="AM8" i="5"/>
  <c r="G111" i="1" s="1"/>
  <c r="AM9" i="5"/>
  <c r="H111" i="1" s="1"/>
  <c r="AM10" i="5"/>
  <c r="I111" i="1" s="1"/>
  <c r="AM11" i="5"/>
  <c r="J111" i="1" s="1"/>
  <c r="AM12" i="5"/>
  <c r="K111" i="1" s="1"/>
  <c r="AM13" i="5"/>
  <c r="L111" i="1" s="1"/>
  <c r="AM14" i="5"/>
  <c r="M111" i="1" s="1"/>
  <c r="AM15" i="5"/>
  <c r="N111" i="1" s="1"/>
  <c r="AM16" i="5"/>
  <c r="O111" i="1" s="1"/>
  <c r="AM17" i="5"/>
  <c r="P111" i="1" s="1"/>
  <c r="AM5" i="5"/>
  <c r="D111" i="1" s="1"/>
  <c r="AL6" i="5"/>
  <c r="E115" i="1" s="1"/>
  <c r="AL7" i="5"/>
  <c r="F115" i="1" s="1"/>
  <c r="AL8" i="5"/>
  <c r="G115" i="1" s="1"/>
  <c r="AL9" i="5"/>
  <c r="H115" i="1" s="1"/>
  <c r="AL10" i="5"/>
  <c r="I115" i="1" s="1"/>
  <c r="AL11" i="5"/>
  <c r="J115" i="1" s="1"/>
  <c r="AL12" i="5"/>
  <c r="K115" i="1" s="1"/>
  <c r="AL13" i="5"/>
  <c r="L115" i="1" s="1"/>
  <c r="AL14" i="5"/>
  <c r="M115" i="1" s="1"/>
  <c r="AL15" i="5"/>
  <c r="N115" i="1" s="1"/>
  <c r="AL16" i="5"/>
  <c r="O115" i="1" s="1"/>
  <c r="AL17" i="5"/>
  <c r="P115" i="1" s="1"/>
  <c r="AL5" i="5"/>
  <c r="D115" i="1" s="1"/>
  <c r="AK6" i="5"/>
  <c r="E114" i="1" s="1"/>
  <c r="AK7" i="5"/>
  <c r="F114" i="1" s="1"/>
  <c r="AK8" i="5"/>
  <c r="G114" i="1" s="1"/>
  <c r="AK9" i="5"/>
  <c r="H114" i="1" s="1"/>
  <c r="AK10" i="5"/>
  <c r="I114" i="1" s="1"/>
  <c r="AK11" i="5"/>
  <c r="J114" i="1" s="1"/>
  <c r="AK12" i="5"/>
  <c r="K114" i="1" s="1"/>
  <c r="AK13" i="5"/>
  <c r="L114" i="1" s="1"/>
  <c r="AK14" i="5"/>
  <c r="M114" i="1" s="1"/>
  <c r="AK15" i="5"/>
  <c r="N114" i="1" s="1"/>
  <c r="AK16" i="5"/>
  <c r="O114" i="1" s="1"/>
  <c r="AK17" i="5"/>
  <c r="P114" i="1" s="1"/>
  <c r="AK5" i="5"/>
  <c r="D114" i="1" s="1"/>
  <c r="AN5" i="5"/>
  <c r="D113" i="1" s="1"/>
  <c r="AJ6" i="5"/>
  <c r="E112" i="1" s="1"/>
  <c r="AJ7" i="5"/>
  <c r="F112" i="1" s="1"/>
  <c r="AJ8" i="5"/>
  <c r="G112" i="1" s="1"/>
  <c r="AJ9" i="5"/>
  <c r="H112" i="1" s="1"/>
  <c r="AJ10" i="5"/>
  <c r="I112" i="1" s="1"/>
  <c r="AJ11" i="5"/>
  <c r="J112" i="1" s="1"/>
  <c r="AJ12" i="5"/>
  <c r="K112" i="1" s="1"/>
  <c r="AJ13" i="5"/>
  <c r="L112" i="1" s="1"/>
  <c r="AJ14" i="5"/>
  <c r="M112" i="1" s="1"/>
  <c r="AJ15" i="5"/>
  <c r="N112" i="1" s="1"/>
  <c r="AJ16" i="5"/>
  <c r="O112" i="1" s="1"/>
  <c r="AJ17" i="5"/>
  <c r="P112" i="1" s="1"/>
  <c r="AJ5" i="5"/>
  <c r="D112" i="1" s="1"/>
  <c r="AI6" i="5"/>
  <c r="E110" i="1" s="1"/>
  <c r="AI7" i="5"/>
  <c r="F110" i="1" s="1"/>
  <c r="AI8" i="5"/>
  <c r="G110" i="1" s="1"/>
  <c r="AI9" i="5"/>
  <c r="H110" i="1" s="1"/>
  <c r="AI10" i="5"/>
  <c r="I110" i="1" s="1"/>
  <c r="AI11" i="5"/>
  <c r="J110" i="1" s="1"/>
  <c r="AI12" i="5"/>
  <c r="K110" i="1" s="1"/>
  <c r="AI13" i="5"/>
  <c r="L110" i="1" s="1"/>
  <c r="AI14" i="5"/>
  <c r="M110" i="1" s="1"/>
  <c r="AI15" i="5"/>
  <c r="N110" i="1" s="1"/>
  <c r="AI16" i="5"/>
  <c r="O110" i="1" s="1"/>
  <c r="AI17" i="5"/>
  <c r="P110" i="1" s="1"/>
  <c r="AI5" i="5"/>
  <c r="D110" i="1" s="1"/>
  <c r="AH6" i="5"/>
  <c r="E109" i="1" s="1"/>
  <c r="AH7" i="5"/>
  <c r="F109" i="1" s="1"/>
  <c r="AH8" i="5"/>
  <c r="G109" i="1" s="1"/>
  <c r="AH9" i="5"/>
  <c r="H109" i="1" s="1"/>
  <c r="AH10" i="5"/>
  <c r="I109" i="1" s="1"/>
  <c r="AH11" i="5"/>
  <c r="J109" i="1" s="1"/>
  <c r="AH12" i="5"/>
  <c r="K109" i="1" s="1"/>
  <c r="AH13" i="5"/>
  <c r="L109" i="1" s="1"/>
  <c r="AH14" i="5"/>
  <c r="M109" i="1" s="1"/>
  <c r="AH15" i="5"/>
  <c r="N109" i="1" s="1"/>
  <c r="AH16" i="5"/>
  <c r="O109" i="1" s="1"/>
  <c r="AH17" i="5"/>
  <c r="P109" i="1" s="1"/>
  <c r="AH5" i="5"/>
  <c r="D109" i="1" s="1"/>
  <c r="AG6" i="5"/>
  <c r="AG7" i="5"/>
  <c r="AG8" i="5"/>
  <c r="AG9" i="5"/>
  <c r="AG10" i="5"/>
  <c r="AG11" i="5"/>
  <c r="AG12" i="5"/>
  <c r="AG13" i="5"/>
  <c r="AG14" i="5"/>
  <c r="AG15" i="5"/>
  <c r="AG16" i="5"/>
  <c r="AG17" i="5"/>
  <c r="AG5" i="5"/>
  <c r="S5" i="5"/>
  <c r="D88" i="1" s="1"/>
  <c r="T6" i="5"/>
  <c r="E90" i="1" s="1"/>
  <c r="T7" i="5"/>
  <c r="F90" i="1" s="1"/>
  <c r="T8" i="5"/>
  <c r="G90" i="1" s="1"/>
  <c r="T9" i="5"/>
  <c r="H90" i="1" s="1"/>
  <c r="T10" i="5"/>
  <c r="I90" i="1" s="1"/>
  <c r="T11" i="5"/>
  <c r="J90" i="1" s="1"/>
  <c r="T12" i="5"/>
  <c r="K90" i="1" s="1"/>
  <c r="T13" i="5"/>
  <c r="L90" i="1" s="1"/>
  <c r="T14" i="5"/>
  <c r="M90" i="1" s="1"/>
  <c r="T15" i="5"/>
  <c r="N90" i="1" s="1"/>
  <c r="T16" i="5"/>
  <c r="O90" i="1" s="1"/>
  <c r="T17" i="5"/>
  <c r="P90" i="1" s="1"/>
  <c r="T5" i="5"/>
  <c r="D90" i="1" s="1"/>
  <c r="S6" i="5"/>
  <c r="E88" i="1" s="1"/>
  <c r="S7" i="5"/>
  <c r="F88" i="1" s="1"/>
  <c r="S8" i="5"/>
  <c r="G88" i="1" s="1"/>
  <c r="S9" i="5"/>
  <c r="H88" i="1" s="1"/>
  <c r="S10" i="5"/>
  <c r="I88" i="1" s="1"/>
  <c r="S11" i="5"/>
  <c r="J88" i="1" s="1"/>
  <c r="S12" i="5"/>
  <c r="K88" i="1" s="1"/>
  <c r="S13" i="5"/>
  <c r="L88" i="1" s="1"/>
  <c r="S14" i="5"/>
  <c r="M88" i="1" s="1"/>
  <c r="S15" i="5"/>
  <c r="N88" i="1" s="1"/>
  <c r="S16" i="5"/>
  <c r="O88" i="1" s="1"/>
  <c r="S17" i="5"/>
  <c r="P88" i="1" s="1"/>
  <c r="R9" i="5"/>
  <c r="H92" i="1" s="1"/>
  <c r="R6" i="5"/>
  <c r="E92" i="1" s="1"/>
  <c r="R7" i="5"/>
  <c r="F92" i="1" s="1"/>
  <c r="R8" i="5"/>
  <c r="G92" i="1" s="1"/>
  <c r="R10" i="5"/>
  <c r="I92" i="1" s="1"/>
  <c r="R11" i="5"/>
  <c r="J92" i="1" s="1"/>
  <c r="R12" i="5"/>
  <c r="K92" i="1" s="1"/>
  <c r="R13" i="5"/>
  <c r="L92" i="1" s="1"/>
  <c r="R14" i="5"/>
  <c r="M92" i="1" s="1"/>
  <c r="R15" i="5"/>
  <c r="N92" i="1" s="1"/>
  <c r="R16" i="5"/>
  <c r="O92" i="1" s="1"/>
  <c r="R17" i="5"/>
  <c r="P92" i="1" s="1"/>
  <c r="R5" i="5"/>
  <c r="D92" i="1" s="1"/>
  <c r="Q6" i="5"/>
  <c r="E91" i="1" s="1"/>
  <c r="Q7" i="5"/>
  <c r="F91" i="1" s="1"/>
  <c r="Q8" i="5"/>
  <c r="G91" i="1" s="1"/>
  <c r="Q9" i="5"/>
  <c r="H91" i="1" s="1"/>
  <c r="Q10" i="5"/>
  <c r="I91" i="1" s="1"/>
  <c r="Q11" i="5"/>
  <c r="J91" i="1" s="1"/>
  <c r="Q12" i="5"/>
  <c r="K91" i="1" s="1"/>
  <c r="Q13" i="5"/>
  <c r="L91" i="1" s="1"/>
  <c r="Q14" i="5"/>
  <c r="M91" i="1" s="1"/>
  <c r="Q15" i="5"/>
  <c r="N91" i="1" s="1"/>
  <c r="Q16" i="5"/>
  <c r="O91" i="1" s="1"/>
  <c r="Q17" i="5"/>
  <c r="P91" i="1" s="1"/>
  <c r="Q5" i="5"/>
  <c r="D91" i="1" s="1"/>
  <c r="P6" i="5"/>
  <c r="E89" i="1" s="1"/>
  <c r="P7" i="5"/>
  <c r="F89" i="1" s="1"/>
  <c r="P8" i="5"/>
  <c r="G89" i="1" s="1"/>
  <c r="P9" i="5"/>
  <c r="H89" i="1" s="1"/>
  <c r="P10" i="5"/>
  <c r="I89" i="1" s="1"/>
  <c r="P11" i="5"/>
  <c r="J89" i="1" s="1"/>
  <c r="P12" i="5"/>
  <c r="K89" i="1" s="1"/>
  <c r="P13" i="5"/>
  <c r="L89" i="1" s="1"/>
  <c r="P14" i="5"/>
  <c r="M89" i="1" s="1"/>
  <c r="P15" i="5"/>
  <c r="N89" i="1" s="1"/>
  <c r="P16" i="5"/>
  <c r="O89" i="1" s="1"/>
  <c r="P17" i="5"/>
  <c r="P89" i="1" s="1"/>
  <c r="P5" i="5"/>
  <c r="D89" i="1" s="1"/>
  <c r="O8" i="5"/>
  <c r="G87" i="1" s="1"/>
  <c r="O5" i="5"/>
  <c r="D87" i="1" s="1"/>
  <c r="O6" i="5"/>
  <c r="E87" i="1" s="1"/>
  <c r="O7" i="5"/>
  <c r="F87" i="1" s="1"/>
  <c r="O9" i="5"/>
  <c r="H87" i="1" s="1"/>
  <c r="O10" i="5"/>
  <c r="I87" i="1" s="1"/>
  <c r="O11" i="5"/>
  <c r="J87" i="1" s="1"/>
  <c r="O12" i="5"/>
  <c r="K87" i="1" s="1"/>
  <c r="O13" i="5"/>
  <c r="L87" i="1" s="1"/>
  <c r="O14" i="5"/>
  <c r="M87" i="1" s="1"/>
  <c r="O15" i="5"/>
  <c r="N87" i="1" s="1"/>
  <c r="O16" i="5"/>
  <c r="O87" i="1" s="1"/>
  <c r="O17" i="5"/>
  <c r="P87" i="1" s="1"/>
  <c r="N6" i="5"/>
  <c r="E86" i="1" s="1"/>
  <c r="N7" i="5"/>
  <c r="F86" i="1" s="1"/>
  <c r="N8" i="5"/>
  <c r="G86" i="1" s="1"/>
  <c r="N9" i="5"/>
  <c r="H86" i="1" s="1"/>
  <c r="N10" i="5"/>
  <c r="I86" i="1" s="1"/>
  <c r="N11" i="5"/>
  <c r="J86" i="1" s="1"/>
  <c r="N12" i="5"/>
  <c r="K86" i="1" s="1"/>
  <c r="N13" i="5"/>
  <c r="L86" i="1" s="1"/>
  <c r="N14" i="5"/>
  <c r="M86" i="1" s="1"/>
  <c r="N15" i="5"/>
  <c r="N86" i="1" s="1"/>
  <c r="N16" i="5"/>
  <c r="O86" i="1" s="1"/>
  <c r="N17" i="5"/>
  <c r="P86" i="1" s="1"/>
  <c r="N5" i="5"/>
  <c r="D86" i="1" s="1"/>
  <c r="M16" i="5"/>
  <c r="M6" i="5"/>
  <c r="M7" i="5"/>
  <c r="M8" i="5"/>
  <c r="M9" i="5"/>
  <c r="M10" i="5"/>
  <c r="M11" i="5"/>
  <c r="M12" i="5"/>
  <c r="M13" i="5"/>
  <c r="M14" i="5"/>
  <c r="M15" i="5"/>
  <c r="M17" i="5"/>
  <c r="AC10" i="4"/>
  <c r="J68" i="1" s="1"/>
  <c r="AD13" i="4"/>
  <c r="M69" i="1" s="1"/>
  <c r="AI15" i="4"/>
  <c r="O72" i="1" s="1"/>
  <c r="AI5" i="4"/>
  <c r="E72" i="1" s="1"/>
  <c r="AI6" i="4"/>
  <c r="F72" i="1" s="1"/>
  <c r="AI7" i="4"/>
  <c r="G72" i="1" s="1"/>
  <c r="AI8" i="4"/>
  <c r="H72" i="1" s="1"/>
  <c r="AI9" i="4"/>
  <c r="I72" i="1" s="1"/>
  <c r="AI10" i="4"/>
  <c r="J72" i="1" s="1"/>
  <c r="AI11" i="4"/>
  <c r="K72" i="1" s="1"/>
  <c r="AI12" i="4"/>
  <c r="L72" i="1" s="1"/>
  <c r="AI13" i="4"/>
  <c r="M72" i="1" s="1"/>
  <c r="AI14" i="4"/>
  <c r="N72" i="1" s="1"/>
  <c r="AI16" i="4"/>
  <c r="P72" i="1" s="1"/>
  <c r="AI4" i="4"/>
  <c r="D72" i="1" s="1"/>
  <c r="AH5" i="4"/>
  <c r="E70" i="1" s="1"/>
  <c r="AH6" i="4"/>
  <c r="F70" i="1" s="1"/>
  <c r="AH7" i="4"/>
  <c r="G70" i="1" s="1"/>
  <c r="AH8" i="4"/>
  <c r="H70" i="1" s="1"/>
  <c r="AH9" i="4"/>
  <c r="I70" i="1" s="1"/>
  <c r="AH10" i="4"/>
  <c r="J70" i="1" s="1"/>
  <c r="AH11" i="4"/>
  <c r="K70" i="1" s="1"/>
  <c r="AH12" i="4"/>
  <c r="L70" i="1" s="1"/>
  <c r="AH13" i="4"/>
  <c r="M70" i="1" s="1"/>
  <c r="AH14" i="4"/>
  <c r="N70" i="1" s="1"/>
  <c r="AH15" i="4"/>
  <c r="O70" i="1" s="1"/>
  <c r="AH16" i="4"/>
  <c r="P70" i="1" s="1"/>
  <c r="AH4" i="4"/>
  <c r="D70" i="1" s="1"/>
  <c r="AG5" i="4"/>
  <c r="E74" i="1" s="1"/>
  <c r="AG6" i="4"/>
  <c r="F74" i="1" s="1"/>
  <c r="AG7" i="4"/>
  <c r="G74" i="1" s="1"/>
  <c r="AG8" i="4"/>
  <c r="H74" i="1" s="1"/>
  <c r="AG9" i="4"/>
  <c r="I74" i="1" s="1"/>
  <c r="AG10" i="4"/>
  <c r="J74" i="1" s="1"/>
  <c r="AG11" i="4"/>
  <c r="K74" i="1" s="1"/>
  <c r="AG12" i="4"/>
  <c r="L74" i="1" s="1"/>
  <c r="AG13" i="4"/>
  <c r="M74" i="1" s="1"/>
  <c r="AG14" i="4"/>
  <c r="N74" i="1" s="1"/>
  <c r="AG15" i="4"/>
  <c r="O74" i="1" s="1"/>
  <c r="AG16" i="4"/>
  <c r="P74" i="1" s="1"/>
  <c r="AG4" i="4"/>
  <c r="D74" i="1" s="1"/>
  <c r="AF5" i="4"/>
  <c r="E73" i="1" s="1"/>
  <c r="AF6" i="4"/>
  <c r="F73" i="1" s="1"/>
  <c r="AF7" i="4"/>
  <c r="G73" i="1" s="1"/>
  <c r="AF8" i="4"/>
  <c r="H73" i="1" s="1"/>
  <c r="AF9" i="4"/>
  <c r="I73" i="1" s="1"/>
  <c r="AF10" i="4"/>
  <c r="J73" i="1" s="1"/>
  <c r="AF11" i="4"/>
  <c r="K73" i="1" s="1"/>
  <c r="AF12" i="4"/>
  <c r="L73" i="1" s="1"/>
  <c r="AF13" i="4"/>
  <c r="M73" i="1" s="1"/>
  <c r="AF14" i="4"/>
  <c r="N73" i="1" s="1"/>
  <c r="AF15" i="4"/>
  <c r="O73" i="1" s="1"/>
  <c r="AF16" i="4"/>
  <c r="P73" i="1" s="1"/>
  <c r="AF4" i="4"/>
  <c r="D73" i="1" s="1"/>
  <c r="AE5" i="4"/>
  <c r="E71" i="1" s="1"/>
  <c r="AE6" i="4"/>
  <c r="F71" i="1" s="1"/>
  <c r="AE7" i="4"/>
  <c r="G71" i="1" s="1"/>
  <c r="AE8" i="4"/>
  <c r="H71" i="1" s="1"/>
  <c r="AE9" i="4"/>
  <c r="I71" i="1" s="1"/>
  <c r="AE10" i="4"/>
  <c r="J71" i="1" s="1"/>
  <c r="AE11" i="4"/>
  <c r="K71" i="1" s="1"/>
  <c r="AE12" i="4"/>
  <c r="L71" i="1" s="1"/>
  <c r="AE13" i="4"/>
  <c r="M71" i="1" s="1"/>
  <c r="AE14" i="4"/>
  <c r="N71" i="1" s="1"/>
  <c r="AE15" i="4"/>
  <c r="O71" i="1" s="1"/>
  <c r="AE16" i="4"/>
  <c r="P71" i="1" s="1"/>
  <c r="AE4" i="4"/>
  <c r="D71" i="1" s="1"/>
  <c r="AD5" i="4"/>
  <c r="E69" i="1" s="1"/>
  <c r="AD6" i="4"/>
  <c r="F69" i="1" s="1"/>
  <c r="AD7" i="4"/>
  <c r="G69" i="1" s="1"/>
  <c r="AD8" i="4"/>
  <c r="H69" i="1" s="1"/>
  <c r="AD9" i="4"/>
  <c r="I69" i="1" s="1"/>
  <c r="AD10" i="4"/>
  <c r="J69" i="1" s="1"/>
  <c r="AD11" i="4"/>
  <c r="K69" i="1" s="1"/>
  <c r="AD12" i="4"/>
  <c r="L69" i="1" s="1"/>
  <c r="AD14" i="4"/>
  <c r="N69" i="1" s="1"/>
  <c r="AD15" i="4"/>
  <c r="O69" i="1" s="1"/>
  <c r="AD16" i="4"/>
  <c r="P69" i="1" s="1"/>
  <c r="AD4" i="4"/>
  <c r="D69" i="1" s="1"/>
  <c r="AC5" i="4"/>
  <c r="E68" i="1" s="1"/>
  <c r="AC6" i="4"/>
  <c r="F68" i="1" s="1"/>
  <c r="AC7" i="4"/>
  <c r="G68" i="1" s="1"/>
  <c r="AC8" i="4"/>
  <c r="H68" i="1" s="1"/>
  <c r="AC9" i="4"/>
  <c r="I68" i="1" s="1"/>
  <c r="AC11" i="4"/>
  <c r="K68" i="1" s="1"/>
  <c r="AC12" i="4"/>
  <c r="L68" i="1" s="1"/>
  <c r="AC13" i="4"/>
  <c r="M68" i="1" s="1"/>
  <c r="AC14" i="4"/>
  <c r="N68" i="1" s="1"/>
  <c r="AC15" i="4"/>
  <c r="O68" i="1" s="1"/>
  <c r="AC16" i="4"/>
  <c r="P68" i="1" s="1"/>
  <c r="AC4" i="4"/>
  <c r="D68" i="1" s="1"/>
  <c r="AB16" i="4"/>
  <c r="AB5" i="4"/>
  <c r="AB6" i="4"/>
  <c r="AB7" i="4"/>
  <c r="AB8" i="4"/>
  <c r="AB9" i="4"/>
  <c r="AB10" i="4"/>
  <c r="AB11" i="4"/>
  <c r="AB12" i="4"/>
  <c r="AB13" i="4"/>
  <c r="AB14" i="4"/>
  <c r="AB15" i="4"/>
  <c r="AB4" i="4"/>
  <c r="AZ23" i="12"/>
  <c r="AZ24" i="12"/>
  <c r="E40" i="1" s="1"/>
  <c r="AZ25" i="12"/>
  <c r="F40" i="1" s="1"/>
  <c r="AZ26" i="12"/>
  <c r="G40" i="1" s="1"/>
  <c r="AZ27" i="12"/>
  <c r="H40" i="1" s="1"/>
  <c r="AZ28" i="12"/>
  <c r="I40" i="1" s="1"/>
  <c r="AZ29" i="12"/>
  <c r="J40" i="1" s="1"/>
  <c r="AZ30" i="12"/>
  <c r="K40" i="1" s="1"/>
  <c r="AZ31" i="12"/>
  <c r="L40" i="1" s="1"/>
  <c r="AZ32" i="12"/>
  <c r="M40" i="1" s="1"/>
  <c r="AZ33" i="12"/>
  <c r="N40" i="1" s="1"/>
  <c r="AZ34" i="12"/>
  <c r="O40" i="1" s="1"/>
  <c r="AZ35" i="12"/>
  <c r="P40" i="1" s="1"/>
  <c r="AZ40" i="12"/>
  <c r="E54" i="1" s="1"/>
  <c r="AZ41" i="12"/>
  <c r="F54" i="1" s="1"/>
  <c r="AZ42" i="12"/>
  <c r="G54" i="1" s="1"/>
  <c r="AZ43" i="12"/>
  <c r="H54" i="1" s="1"/>
  <c r="AZ44" i="12"/>
  <c r="I54" i="1" s="1"/>
  <c r="AZ45" i="12"/>
  <c r="J54" i="1" s="1"/>
  <c r="AZ46" i="12"/>
  <c r="K54" i="1" s="1"/>
  <c r="AZ47" i="12"/>
  <c r="L54" i="1" s="1"/>
  <c r="AZ48" i="12"/>
  <c r="M54" i="1" s="1"/>
  <c r="AZ49" i="12"/>
  <c r="N54" i="1" s="1"/>
  <c r="AZ50" i="12"/>
  <c r="O54" i="1" s="1"/>
  <c r="AZ51" i="12"/>
  <c r="P54" i="1" s="1"/>
  <c r="AZ52" i="12"/>
  <c r="AZ39" i="12"/>
  <c r="D54" i="1" s="1"/>
  <c r="AY39" i="12"/>
  <c r="D53" i="1" s="1"/>
  <c r="AY40" i="12"/>
  <c r="E53" i="1" s="1"/>
  <c r="AY41" i="12"/>
  <c r="F53" i="1" s="1"/>
  <c r="AY42" i="12"/>
  <c r="G53" i="1" s="1"/>
  <c r="AY43" i="12"/>
  <c r="H53" i="1" s="1"/>
  <c r="AY44" i="12"/>
  <c r="I53" i="1" s="1"/>
  <c r="AY45" i="12"/>
  <c r="J53" i="1" s="1"/>
  <c r="AY46" i="12"/>
  <c r="K53" i="1" s="1"/>
  <c r="AY47" i="12"/>
  <c r="L53" i="1" s="1"/>
  <c r="AY48" i="12"/>
  <c r="M53" i="1" s="1"/>
  <c r="AY49" i="12"/>
  <c r="N53" i="1" s="1"/>
  <c r="AY50" i="12"/>
  <c r="O53" i="1" s="1"/>
  <c r="AY51" i="12"/>
  <c r="P53" i="1" s="1"/>
  <c r="AY52" i="12"/>
  <c r="BD49" i="12"/>
  <c r="N55" i="1" s="1"/>
  <c r="BD40" i="12"/>
  <c r="E55" i="1" s="1"/>
  <c r="BD41" i="12"/>
  <c r="F55" i="1" s="1"/>
  <c r="BD42" i="12"/>
  <c r="G55" i="1" s="1"/>
  <c r="BD43" i="12"/>
  <c r="H55" i="1" s="1"/>
  <c r="BD44" i="12"/>
  <c r="I55" i="1" s="1"/>
  <c r="BD45" i="12"/>
  <c r="J55" i="1" s="1"/>
  <c r="BD46" i="12"/>
  <c r="K55" i="1" s="1"/>
  <c r="BD47" i="12"/>
  <c r="L55" i="1" s="1"/>
  <c r="BD48" i="12"/>
  <c r="M55" i="1" s="1"/>
  <c r="BD50" i="12"/>
  <c r="O55" i="1" s="1"/>
  <c r="BD51" i="12"/>
  <c r="P55" i="1" s="1"/>
  <c r="BD52" i="12"/>
  <c r="BD39" i="12"/>
  <c r="D55" i="1" s="1"/>
  <c r="BC40" i="12"/>
  <c r="E59" i="1" s="1"/>
  <c r="BC41" i="12"/>
  <c r="F59" i="1" s="1"/>
  <c r="BC42" i="12"/>
  <c r="G59" i="1" s="1"/>
  <c r="BC43" i="12"/>
  <c r="H59" i="1" s="1"/>
  <c r="BC44" i="12"/>
  <c r="I59" i="1" s="1"/>
  <c r="BC45" i="12"/>
  <c r="J59" i="1" s="1"/>
  <c r="BC46" i="12"/>
  <c r="K59" i="1" s="1"/>
  <c r="BC47" i="12"/>
  <c r="L59" i="1" s="1"/>
  <c r="BC48" i="12"/>
  <c r="M59" i="1" s="1"/>
  <c r="BC49" i="12"/>
  <c r="N59" i="1" s="1"/>
  <c r="BC50" i="12"/>
  <c r="O59" i="1" s="1"/>
  <c r="BC51" i="12"/>
  <c r="P59" i="1" s="1"/>
  <c r="BC52" i="12"/>
  <c r="BC39" i="12"/>
  <c r="D59" i="1" s="1"/>
  <c r="BB40" i="12"/>
  <c r="E58" i="1" s="1"/>
  <c r="BB41" i="12"/>
  <c r="F58" i="1" s="1"/>
  <c r="BB42" i="12"/>
  <c r="G58" i="1" s="1"/>
  <c r="BB43" i="12"/>
  <c r="H58" i="1" s="1"/>
  <c r="BB44" i="12"/>
  <c r="I58" i="1" s="1"/>
  <c r="BB45" i="12"/>
  <c r="J58" i="1" s="1"/>
  <c r="BB46" i="12"/>
  <c r="K58" i="1" s="1"/>
  <c r="BB47" i="12"/>
  <c r="L58" i="1" s="1"/>
  <c r="BB48" i="12"/>
  <c r="M58" i="1" s="1"/>
  <c r="BB49" i="12"/>
  <c r="N58" i="1" s="1"/>
  <c r="BB50" i="12"/>
  <c r="O58" i="1" s="1"/>
  <c r="BB51" i="12"/>
  <c r="P58" i="1" s="1"/>
  <c r="BB52" i="12"/>
  <c r="BB39" i="12"/>
  <c r="D58" i="1" s="1"/>
  <c r="BB23" i="12"/>
  <c r="BE39" i="12"/>
  <c r="D57" i="1" s="1"/>
  <c r="BA40" i="12"/>
  <c r="E56" i="1" s="1"/>
  <c r="BA41" i="12"/>
  <c r="F56" i="1" s="1"/>
  <c r="BA42" i="12"/>
  <c r="G56" i="1" s="1"/>
  <c r="BA43" i="12"/>
  <c r="H56" i="1" s="1"/>
  <c r="BA44" i="12"/>
  <c r="I56" i="1" s="1"/>
  <c r="BA45" i="12"/>
  <c r="J56" i="1" s="1"/>
  <c r="BA46" i="12"/>
  <c r="K56" i="1" s="1"/>
  <c r="BA47" i="12"/>
  <c r="L56" i="1" s="1"/>
  <c r="BA48" i="12"/>
  <c r="M56" i="1" s="1"/>
  <c r="BA49" i="12"/>
  <c r="N56" i="1" s="1"/>
  <c r="BA50" i="12"/>
  <c r="O56" i="1" s="1"/>
  <c r="BA51" i="12"/>
  <c r="P56" i="1" s="1"/>
  <c r="BA52" i="12"/>
  <c r="BA39" i="12"/>
  <c r="D56" i="1" s="1"/>
  <c r="BA23" i="12"/>
  <c r="AX39" i="12"/>
  <c r="D52" i="1" s="1"/>
  <c r="AX51" i="12"/>
  <c r="P52" i="1" s="1"/>
  <c r="AX40" i="12"/>
  <c r="E52" i="1" s="1"/>
  <c r="AX41" i="12"/>
  <c r="F52" i="1" s="1"/>
  <c r="AX42" i="12"/>
  <c r="G52" i="1" s="1"/>
  <c r="AX43" i="12"/>
  <c r="H52" i="1" s="1"/>
  <c r="AX44" i="12"/>
  <c r="I52" i="1" s="1"/>
  <c r="AX45" i="12"/>
  <c r="J52" i="1" s="1"/>
  <c r="AX46" i="12"/>
  <c r="K52" i="1" s="1"/>
  <c r="AX47" i="12"/>
  <c r="L52" i="1" s="1"/>
  <c r="AX48" i="12"/>
  <c r="M52" i="1" s="1"/>
  <c r="AX49" i="12"/>
  <c r="N52" i="1" s="1"/>
  <c r="AX50" i="12"/>
  <c r="O52" i="1" s="1"/>
  <c r="AX52" i="12"/>
  <c r="BE40" i="12"/>
  <c r="E57" i="1" s="1"/>
  <c r="BE41" i="12"/>
  <c r="F57" i="1" s="1"/>
  <c r="BE42" i="12"/>
  <c r="G57" i="1" s="1"/>
  <c r="BE43" i="12"/>
  <c r="H57" i="1" s="1"/>
  <c r="BE44" i="12"/>
  <c r="I57" i="1" s="1"/>
  <c r="BE45" i="12"/>
  <c r="J57" i="1" s="1"/>
  <c r="BE46" i="12"/>
  <c r="K57" i="1" s="1"/>
  <c r="BE47" i="12"/>
  <c r="L57" i="1" s="1"/>
  <c r="BE48" i="12"/>
  <c r="M57" i="1" s="1"/>
  <c r="BE49" i="12"/>
  <c r="N57" i="1" s="1"/>
  <c r="BE50" i="12"/>
  <c r="O57" i="1" s="1"/>
  <c r="BE51" i="12"/>
  <c r="P57" i="1" s="1"/>
  <c r="BE52" i="12"/>
  <c r="BE24" i="12"/>
  <c r="E43" i="1" s="1"/>
  <c r="BE25" i="12"/>
  <c r="F43" i="1" s="1"/>
  <c r="BE26" i="12"/>
  <c r="G43" i="1" s="1"/>
  <c r="BE27" i="12"/>
  <c r="H43" i="1" s="1"/>
  <c r="BE28" i="12"/>
  <c r="I43" i="1" s="1"/>
  <c r="BE29" i="12"/>
  <c r="J43" i="1" s="1"/>
  <c r="BE30" i="12"/>
  <c r="K43" i="1" s="1"/>
  <c r="BE31" i="12"/>
  <c r="L43" i="1" s="1"/>
  <c r="BE32" i="12"/>
  <c r="M43" i="1" s="1"/>
  <c r="BE33" i="12"/>
  <c r="N43" i="1" s="1"/>
  <c r="BE34" i="12"/>
  <c r="O43" i="1" s="1"/>
  <c r="BE35" i="12"/>
  <c r="P43" i="1" s="1"/>
  <c r="BE23" i="12"/>
  <c r="BD23" i="12"/>
  <c r="BD24" i="12"/>
  <c r="E41" i="1" s="1"/>
  <c r="BD25" i="12"/>
  <c r="F41" i="1" s="1"/>
  <c r="BD26" i="12"/>
  <c r="G41" i="1" s="1"/>
  <c r="BD27" i="12"/>
  <c r="H41" i="1" s="1"/>
  <c r="BD28" i="12"/>
  <c r="I41" i="1" s="1"/>
  <c r="BD29" i="12"/>
  <c r="J41" i="1" s="1"/>
  <c r="BD30" i="12"/>
  <c r="K41" i="1" s="1"/>
  <c r="BD31" i="12"/>
  <c r="L41" i="1" s="1"/>
  <c r="BD32" i="12"/>
  <c r="M41" i="1" s="1"/>
  <c r="BD33" i="12"/>
  <c r="N41" i="1" s="1"/>
  <c r="BD34" i="12"/>
  <c r="O41" i="1" s="1"/>
  <c r="BD35" i="12"/>
  <c r="P41" i="1" s="1"/>
  <c r="BC24" i="12"/>
  <c r="E45" i="1" s="1"/>
  <c r="BC25" i="12"/>
  <c r="F45" i="1" s="1"/>
  <c r="BC26" i="12"/>
  <c r="G45" i="1" s="1"/>
  <c r="BC27" i="12"/>
  <c r="H45" i="1" s="1"/>
  <c r="BC28" i="12"/>
  <c r="I45" i="1" s="1"/>
  <c r="BC29" i="12"/>
  <c r="J45" i="1" s="1"/>
  <c r="BC30" i="12"/>
  <c r="K45" i="1" s="1"/>
  <c r="BC31" i="12"/>
  <c r="L45" i="1" s="1"/>
  <c r="BC32" i="12"/>
  <c r="M45" i="1" s="1"/>
  <c r="BC33" i="12"/>
  <c r="N45" i="1" s="1"/>
  <c r="BC34" i="12"/>
  <c r="O45" i="1" s="1"/>
  <c r="BC35" i="12"/>
  <c r="P45" i="1" s="1"/>
  <c r="BC23" i="12"/>
  <c r="BB33" i="12"/>
  <c r="N44" i="1" s="1"/>
  <c r="BB24" i="12"/>
  <c r="E44" i="1" s="1"/>
  <c r="BB25" i="12"/>
  <c r="F44" i="1" s="1"/>
  <c r="BB26" i="12"/>
  <c r="G44" i="1" s="1"/>
  <c r="BB27" i="12"/>
  <c r="H44" i="1" s="1"/>
  <c r="BB28" i="12"/>
  <c r="I44" i="1" s="1"/>
  <c r="BB29" i="12"/>
  <c r="J44" i="1" s="1"/>
  <c r="BB30" i="12"/>
  <c r="K44" i="1" s="1"/>
  <c r="BB31" i="12"/>
  <c r="L44" i="1" s="1"/>
  <c r="BB32" i="12"/>
  <c r="M44" i="1" s="1"/>
  <c r="BB34" i="12"/>
  <c r="O44" i="1" s="1"/>
  <c r="BB35" i="12"/>
  <c r="P44" i="1" s="1"/>
  <c r="BA24" i="12"/>
  <c r="E42" i="1" s="1"/>
  <c r="BA25" i="12"/>
  <c r="F42" i="1" s="1"/>
  <c r="BA26" i="12"/>
  <c r="G42" i="1" s="1"/>
  <c r="BA27" i="12"/>
  <c r="H42" i="1" s="1"/>
  <c r="BA28" i="12"/>
  <c r="I42" i="1" s="1"/>
  <c r="BA29" i="12"/>
  <c r="J42" i="1" s="1"/>
  <c r="BA30" i="12"/>
  <c r="K42" i="1" s="1"/>
  <c r="BA31" i="12"/>
  <c r="L42" i="1" s="1"/>
  <c r="BA32" i="12"/>
  <c r="M42" i="1" s="1"/>
  <c r="BA33" i="12"/>
  <c r="N42" i="1" s="1"/>
  <c r="BA34" i="12"/>
  <c r="O42" i="1" s="1"/>
  <c r="BA35" i="12"/>
  <c r="P42" i="1" s="1"/>
  <c r="AY32" i="12"/>
  <c r="M39" i="1" s="1"/>
  <c r="AY24" i="12"/>
  <c r="E39" i="1" s="1"/>
  <c r="AY25" i="12"/>
  <c r="F39" i="1" s="1"/>
  <c r="AY26" i="12"/>
  <c r="G39" i="1" s="1"/>
  <c r="AY27" i="12"/>
  <c r="H39" i="1" s="1"/>
  <c r="AY28" i="12"/>
  <c r="I39" i="1" s="1"/>
  <c r="AY29" i="12"/>
  <c r="J39" i="1" s="1"/>
  <c r="AY30" i="12"/>
  <c r="K39" i="1" s="1"/>
  <c r="AY31" i="12"/>
  <c r="L39" i="1" s="1"/>
  <c r="AY33" i="12"/>
  <c r="N39" i="1" s="1"/>
  <c r="AY34" i="12"/>
  <c r="O39" i="1" s="1"/>
  <c r="AY35" i="12"/>
  <c r="P39" i="1" s="1"/>
  <c r="AY23" i="12"/>
  <c r="AX24" i="12"/>
  <c r="E38" i="1" s="1"/>
  <c r="AX25" i="12"/>
  <c r="F38" i="1" s="1"/>
  <c r="AX26" i="12"/>
  <c r="G38" i="1" s="1"/>
  <c r="AX27" i="12"/>
  <c r="H38" i="1" s="1"/>
  <c r="AX28" i="12"/>
  <c r="I38" i="1" s="1"/>
  <c r="AX29" i="12"/>
  <c r="J38" i="1" s="1"/>
  <c r="AX30" i="12"/>
  <c r="K38" i="1" s="1"/>
  <c r="AX31" i="12"/>
  <c r="L38" i="1" s="1"/>
  <c r="AX32" i="12"/>
  <c r="M38" i="1" s="1"/>
  <c r="AX33" i="12"/>
  <c r="N38" i="1" s="1"/>
  <c r="AX34" i="12"/>
  <c r="O38" i="1" s="1"/>
  <c r="AX35" i="12"/>
  <c r="P38" i="1" s="1"/>
  <c r="AX23" i="12"/>
  <c r="BE7" i="12"/>
  <c r="E29" i="1" s="1"/>
  <c r="BE8" i="12"/>
  <c r="F29" i="1" s="1"/>
  <c r="BE9" i="12"/>
  <c r="G29" i="1" s="1"/>
  <c r="BE10" i="12"/>
  <c r="H29" i="1" s="1"/>
  <c r="BE11" i="12"/>
  <c r="I29" i="1" s="1"/>
  <c r="BE12" i="12"/>
  <c r="J29" i="1" s="1"/>
  <c r="BE13" i="12"/>
  <c r="K29" i="1" s="1"/>
  <c r="BE14" i="12"/>
  <c r="L29" i="1" s="1"/>
  <c r="BE15" i="12"/>
  <c r="M29" i="1" s="1"/>
  <c r="BE16" i="12"/>
  <c r="N29" i="1" s="1"/>
  <c r="BE17" i="12"/>
  <c r="O29" i="1" s="1"/>
  <c r="BE18" i="12"/>
  <c r="P29" i="1" s="1"/>
  <c r="BE6" i="12"/>
  <c r="BD18" i="12"/>
  <c r="P27" i="1" s="1"/>
  <c r="BD7" i="12"/>
  <c r="E27" i="1" s="1"/>
  <c r="BD8" i="12"/>
  <c r="F27" i="1" s="1"/>
  <c r="BD9" i="12"/>
  <c r="G27" i="1" s="1"/>
  <c r="BD10" i="12"/>
  <c r="H27" i="1" s="1"/>
  <c r="BD11" i="12"/>
  <c r="I27" i="1" s="1"/>
  <c r="BD12" i="12"/>
  <c r="J27" i="1" s="1"/>
  <c r="BD13" i="12"/>
  <c r="K27" i="1" s="1"/>
  <c r="BD14" i="12"/>
  <c r="L27" i="1" s="1"/>
  <c r="BD15" i="12"/>
  <c r="M27" i="1" s="1"/>
  <c r="BD16" i="12"/>
  <c r="N27" i="1" s="1"/>
  <c r="BD17" i="12"/>
  <c r="O27" i="1" s="1"/>
  <c r="BD6" i="12"/>
  <c r="BC6" i="12"/>
  <c r="BC7" i="12"/>
  <c r="E31" i="1" s="1"/>
  <c r="BC8" i="12"/>
  <c r="F31" i="1" s="1"/>
  <c r="BC9" i="12"/>
  <c r="G31" i="1" s="1"/>
  <c r="BC10" i="12"/>
  <c r="H31" i="1" s="1"/>
  <c r="BC11" i="12"/>
  <c r="I31" i="1" s="1"/>
  <c r="BC12" i="12"/>
  <c r="J31" i="1" s="1"/>
  <c r="BC13" i="12"/>
  <c r="K31" i="1" s="1"/>
  <c r="BC14" i="12"/>
  <c r="L31" i="1" s="1"/>
  <c r="BC15" i="12"/>
  <c r="M31" i="1" s="1"/>
  <c r="BC16" i="12"/>
  <c r="N31" i="1" s="1"/>
  <c r="BC17" i="12"/>
  <c r="O31" i="1" s="1"/>
  <c r="BC18" i="12"/>
  <c r="P31" i="1" s="1"/>
  <c r="BB7" i="12"/>
  <c r="E30" i="1" s="1"/>
  <c r="BB8" i="12"/>
  <c r="F30" i="1" s="1"/>
  <c r="BB9" i="12"/>
  <c r="G30" i="1" s="1"/>
  <c r="BB10" i="12"/>
  <c r="H30" i="1" s="1"/>
  <c r="BB11" i="12"/>
  <c r="I30" i="1" s="1"/>
  <c r="BB12" i="12"/>
  <c r="J30" i="1" s="1"/>
  <c r="BB13" i="12"/>
  <c r="K30" i="1" s="1"/>
  <c r="BB14" i="12"/>
  <c r="L30" i="1" s="1"/>
  <c r="BB15" i="12"/>
  <c r="M30" i="1" s="1"/>
  <c r="BB16" i="12"/>
  <c r="N30" i="1" s="1"/>
  <c r="BB17" i="12"/>
  <c r="O30" i="1" s="1"/>
  <c r="BB18" i="12"/>
  <c r="P30" i="1" s="1"/>
  <c r="BB6" i="12"/>
  <c r="BA6" i="12"/>
  <c r="AZ7" i="12"/>
  <c r="E26" i="1" s="1"/>
  <c r="AZ8" i="12"/>
  <c r="F26" i="1" s="1"/>
  <c r="AZ9" i="12"/>
  <c r="G26" i="1" s="1"/>
  <c r="AZ10" i="12"/>
  <c r="H26" i="1" s="1"/>
  <c r="AZ11" i="12"/>
  <c r="I26" i="1" s="1"/>
  <c r="AZ12" i="12"/>
  <c r="J26" i="1" s="1"/>
  <c r="AZ13" i="12"/>
  <c r="K26" i="1" s="1"/>
  <c r="AZ14" i="12"/>
  <c r="L26" i="1" s="1"/>
  <c r="AZ15" i="12"/>
  <c r="M26" i="1" s="1"/>
  <c r="AZ16" i="12"/>
  <c r="N26" i="1" s="1"/>
  <c r="AZ17" i="12"/>
  <c r="O26" i="1" s="1"/>
  <c r="AZ18" i="12"/>
  <c r="P26" i="1" s="1"/>
  <c r="AZ6" i="12"/>
  <c r="AY14" i="12"/>
  <c r="L25" i="1" s="1"/>
  <c r="AY7" i="12"/>
  <c r="E25" i="1" s="1"/>
  <c r="AY8" i="12"/>
  <c r="F25" i="1" s="1"/>
  <c r="AY9" i="12"/>
  <c r="G25" i="1" s="1"/>
  <c r="AY10" i="12"/>
  <c r="H25" i="1" s="1"/>
  <c r="AY11" i="12"/>
  <c r="I25" i="1" s="1"/>
  <c r="AY12" i="12"/>
  <c r="J25" i="1" s="1"/>
  <c r="AY13" i="12"/>
  <c r="K25" i="1" s="1"/>
  <c r="AY15" i="12"/>
  <c r="M25" i="1" s="1"/>
  <c r="AY16" i="12"/>
  <c r="N25" i="1" s="1"/>
  <c r="AY17" i="12"/>
  <c r="O25" i="1" s="1"/>
  <c r="AY18" i="12"/>
  <c r="P25" i="1" s="1"/>
  <c r="AY6" i="12"/>
  <c r="AX7" i="12"/>
  <c r="AX8" i="12"/>
  <c r="AX9" i="12"/>
  <c r="AX10" i="12"/>
  <c r="AX11" i="12"/>
  <c r="AX12" i="12"/>
  <c r="AX13" i="12"/>
  <c r="AX14" i="12"/>
  <c r="AX15" i="12"/>
  <c r="AX16" i="12"/>
  <c r="AX17" i="12"/>
  <c r="AX18" i="12"/>
  <c r="AX6" i="12"/>
  <c r="BA18" i="12"/>
  <c r="P28" i="1" s="1"/>
  <c r="BA17" i="12"/>
  <c r="O28" i="1" s="1"/>
  <c r="BA16" i="12"/>
  <c r="N28" i="1" s="1"/>
  <c r="BA15" i="12"/>
  <c r="M28" i="1" s="1"/>
  <c r="BA14" i="12"/>
  <c r="L28" i="1" s="1"/>
  <c r="BA13" i="12"/>
  <c r="K28" i="1" s="1"/>
  <c r="BA12" i="12"/>
  <c r="J28" i="1" s="1"/>
  <c r="BA11" i="12"/>
  <c r="I28" i="1" s="1"/>
  <c r="BA10" i="12"/>
  <c r="H28" i="1" s="1"/>
  <c r="BA9" i="12"/>
  <c r="G28" i="1" s="1"/>
  <c r="BA8" i="12"/>
  <c r="F28" i="1" s="1"/>
  <c r="BA7" i="12"/>
  <c r="E28" i="1" s="1"/>
  <c r="D8" i="1"/>
  <c r="X5" i="3"/>
  <c r="E13" i="1" s="1"/>
  <c r="X6" i="3"/>
  <c r="F13" i="1" s="1"/>
  <c r="X7" i="3"/>
  <c r="G13" i="1" s="1"/>
  <c r="X8" i="3"/>
  <c r="H13" i="1" s="1"/>
  <c r="X9" i="3"/>
  <c r="I13" i="1" s="1"/>
  <c r="X10" i="3"/>
  <c r="J13" i="1" s="1"/>
  <c r="X11" i="3"/>
  <c r="K13" i="1" s="1"/>
  <c r="X12" i="3"/>
  <c r="L13" i="1" s="1"/>
  <c r="X13" i="3"/>
  <c r="M13" i="1" s="1"/>
  <c r="X14" i="3"/>
  <c r="N13" i="1" s="1"/>
  <c r="X15" i="3"/>
  <c r="O13" i="1" s="1"/>
  <c r="X16" i="3"/>
  <c r="P13" i="1" s="1"/>
  <c r="X4" i="3"/>
  <c r="D13" i="1" s="1"/>
  <c r="W8" i="3"/>
  <c r="H11" i="1" s="1"/>
  <c r="W5" i="3"/>
  <c r="E11" i="1" s="1"/>
  <c r="W6" i="3"/>
  <c r="F11" i="1" s="1"/>
  <c r="W7" i="3"/>
  <c r="G11" i="1" s="1"/>
  <c r="W9" i="3"/>
  <c r="I11" i="1" s="1"/>
  <c r="W10" i="3"/>
  <c r="J11" i="1" s="1"/>
  <c r="W11" i="3"/>
  <c r="K11" i="1" s="1"/>
  <c r="W12" i="3"/>
  <c r="L11" i="1" s="1"/>
  <c r="W13" i="3"/>
  <c r="M11" i="1" s="1"/>
  <c r="W14" i="3"/>
  <c r="N11" i="1" s="1"/>
  <c r="W15" i="3"/>
  <c r="O11" i="1" s="1"/>
  <c r="W16" i="3"/>
  <c r="P11" i="1" s="1"/>
  <c r="W4" i="3"/>
  <c r="D11" i="1" s="1"/>
  <c r="V4" i="3"/>
  <c r="D15" i="1" s="1"/>
  <c r="V5" i="3"/>
  <c r="E15" i="1" s="1"/>
  <c r="V6" i="3"/>
  <c r="F15" i="1" s="1"/>
  <c r="V7" i="3"/>
  <c r="G15" i="1" s="1"/>
  <c r="V8" i="3"/>
  <c r="H15" i="1" s="1"/>
  <c r="V9" i="3"/>
  <c r="I15" i="1" s="1"/>
  <c r="V10" i="3"/>
  <c r="J15" i="1" s="1"/>
  <c r="V11" i="3"/>
  <c r="K15" i="1" s="1"/>
  <c r="V12" i="3"/>
  <c r="L15" i="1" s="1"/>
  <c r="V13" i="3"/>
  <c r="M15" i="1" s="1"/>
  <c r="V14" i="3"/>
  <c r="N15" i="1" s="1"/>
  <c r="V15" i="3"/>
  <c r="O15" i="1" s="1"/>
  <c r="V16" i="3"/>
  <c r="P15" i="1" s="1"/>
  <c r="U5" i="3"/>
  <c r="E14" i="1" s="1"/>
  <c r="U6" i="3"/>
  <c r="F14" i="1" s="1"/>
  <c r="U7" i="3"/>
  <c r="G14" i="1" s="1"/>
  <c r="U8" i="3"/>
  <c r="H14" i="1" s="1"/>
  <c r="U9" i="3"/>
  <c r="I14" i="1" s="1"/>
  <c r="U10" i="3"/>
  <c r="J14" i="1" s="1"/>
  <c r="U11" i="3"/>
  <c r="K14" i="1" s="1"/>
  <c r="U12" i="3"/>
  <c r="L14" i="1" s="1"/>
  <c r="U13" i="3"/>
  <c r="M14" i="1" s="1"/>
  <c r="U14" i="3"/>
  <c r="N14" i="1" s="1"/>
  <c r="U15" i="3"/>
  <c r="O14" i="1" s="1"/>
  <c r="U16" i="3"/>
  <c r="P14" i="1" s="1"/>
  <c r="U4" i="3"/>
  <c r="D14" i="1" s="1"/>
  <c r="T16" i="3"/>
  <c r="P12" i="1" s="1"/>
  <c r="T15" i="3"/>
  <c r="O12" i="1" s="1"/>
  <c r="T4" i="3"/>
  <c r="D12" i="1" s="1"/>
  <c r="T5" i="3"/>
  <c r="E12" i="1" s="1"/>
  <c r="T6" i="3"/>
  <c r="F12" i="1" s="1"/>
  <c r="T7" i="3"/>
  <c r="G12" i="1" s="1"/>
  <c r="T8" i="3"/>
  <c r="H12" i="1" s="1"/>
  <c r="T9" i="3"/>
  <c r="I12" i="1" s="1"/>
  <c r="T10" i="3"/>
  <c r="J12" i="1" s="1"/>
  <c r="T11" i="3"/>
  <c r="K12" i="1" s="1"/>
  <c r="T12" i="3"/>
  <c r="L12" i="1" s="1"/>
  <c r="T13" i="3"/>
  <c r="M12" i="1" s="1"/>
  <c r="T14" i="3"/>
  <c r="N12" i="1" s="1"/>
  <c r="S5" i="3"/>
  <c r="E10" i="1" s="1"/>
  <c r="S6" i="3"/>
  <c r="F10" i="1" s="1"/>
  <c r="S7" i="3"/>
  <c r="G10" i="1" s="1"/>
  <c r="S8" i="3"/>
  <c r="H10" i="1" s="1"/>
  <c r="S9" i="3"/>
  <c r="I10" i="1" s="1"/>
  <c r="S10" i="3"/>
  <c r="J10" i="1" s="1"/>
  <c r="S11" i="3"/>
  <c r="K10" i="1" s="1"/>
  <c r="S12" i="3"/>
  <c r="L10" i="1" s="1"/>
  <c r="S13" i="3"/>
  <c r="M10" i="1" s="1"/>
  <c r="S14" i="3"/>
  <c r="N10" i="1" s="1"/>
  <c r="S15" i="3"/>
  <c r="O10" i="1" s="1"/>
  <c r="S16" i="3"/>
  <c r="P10" i="1" s="1"/>
  <c r="S4" i="3"/>
  <c r="D10" i="1" s="1"/>
  <c r="R5" i="3"/>
  <c r="E9" i="1" s="1"/>
  <c r="R6" i="3"/>
  <c r="F9" i="1" s="1"/>
  <c r="R7" i="3"/>
  <c r="G9" i="1" s="1"/>
  <c r="R8" i="3"/>
  <c r="H9" i="1" s="1"/>
  <c r="R9" i="3"/>
  <c r="I9" i="1" s="1"/>
  <c r="R10" i="3"/>
  <c r="J9" i="1" s="1"/>
  <c r="R11" i="3"/>
  <c r="K9" i="1" s="1"/>
  <c r="R12" i="3"/>
  <c r="L9" i="1" s="1"/>
  <c r="R13" i="3"/>
  <c r="M9" i="1" s="1"/>
  <c r="R14" i="3"/>
  <c r="N9" i="1" s="1"/>
  <c r="R15" i="3"/>
  <c r="O9" i="1" s="1"/>
  <c r="R16" i="3"/>
  <c r="P9" i="1" s="1"/>
  <c r="R4" i="3"/>
  <c r="D9" i="1" s="1"/>
  <c r="Q16" i="3"/>
  <c r="P8" i="1" s="1"/>
  <c r="Q5" i="3"/>
  <c r="E8" i="1" s="1"/>
  <c r="Q6" i="3"/>
  <c r="F8" i="1" s="1"/>
  <c r="Q7" i="3"/>
  <c r="G8" i="1" s="1"/>
  <c r="Q8" i="3"/>
  <c r="H8" i="1" s="1"/>
  <c r="Q9" i="3"/>
  <c r="I8" i="1" s="1"/>
  <c r="Q10" i="3"/>
  <c r="J8" i="1" s="1"/>
  <c r="Q11" i="3"/>
  <c r="K8" i="1" s="1"/>
  <c r="Q12" i="3"/>
  <c r="L8" i="1" s="1"/>
  <c r="Q13" i="3"/>
  <c r="M8" i="1" s="1"/>
  <c r="Q14" i="3"/>
  <c r="N8" i="1" s="1"/>
  <c r="Q15" i="3"/>
  <c r="O8" i="1" s="1"/>
  <c r="BQ143" i="7"/>
  <c r="I285" i="1" s="1"/>
  <c r="CF144" i="6"/>
  <c r="I145" i="1" s="1"/>
  <c r="AH143" i="6"/>
  <c r="I129" i="1" s="1"/>
  <c r="F12" i="4"/>
  <c r="AI143" i="6"/>
  <c r="J129" i="1" s="1"/>
  <c r="AJ143" i="6"/>
  <c r="K129" i="1" s="1"/>
  <c r="AK143" i="6"/>
  <c r="L129" i="1" s="1"/>
  <c r="AL143" i="6"/>
  <c r="M129" i="1" s="1"/>
  <c r="AM143" i="6"/>
  <c r="N129" i="1" s="1"/>
  <c r="AN143" i="6"/>
  <c r="O129" i="1" s="1"/>
  <c r="AO143" i="6"/>
  <c r="P129" i="1" s="1"/>
  <c r="AG143" i="6"/>
  <c r="H129" i="1" s="1"/>
  <c r="AY434" i="4"/>
  <c r="AY435" i="4"/>
  <c r="AY436" i="4"/>
  <c r="AY437" i="4"/>
  <c r="AY438" i="4"/>
  <c r="AY439" i="4"/>
  <c r="AY440" i="4"/>
  <c r="AY441" i="4"/>
  <c r="AY442" i="4"/>
  <c r="AY443" i="4"/>
  <c r="AY444" i="4"/>
  <c r="AY445" i="4"/>
  <c r="AY446" i="4"/>
  <c r="AY447" i="4"/>
  <c r="AY448" i="4"/>
  <c r="AY449" i="4"/>
  <c r="AY450" i="4"/>
  <c r="AY451" i="4"/>
  <c r="AY452" i="4"/>
  <c r="AY453" i="4"/>
  <c r="AY454" i="4"/>
  <c r="AY455" i="4"/>
  <c r="AY456" i="4"/>
  <c r="AY457" i="4"/>
  <c r="AY458" i="4"/>
  <c r="AY459" i="4"/>
  <c r="AY460" i="4"/>
  <c r="AY461" i="4"/>
  <c r="AY462" i="4"/>
  <c r="AY463" i="4"/>
  <c r="AY464" i="4"/>
  <c r="AY465" i="4"/>
  <c r="AY466" i="4"/>
  <c r="AY467" i="4"/>
  <c r="AY468" i="4"/>
  <c r="AY469" i="4"/>
  <c r="AY470" i="4"/>
  <c r="AY471" i="4"/>
  <c r="AY472" i="4"/>
  <c r="AY473" i="4"/>
  <c r="AY474" i="4"/>
  <c r="AY475" i="4"/>
  <c r="AY476" i="4"/>
  <c r="AY477" i="4"/>
  <c r="AY478" i="4"/>
  <c r="AY479" i="4"/>
  <c r="AY480" i="4"/>
  <c r="AY481" i="4"/>
  <c r="AY482" i="4"/>
  <c r="AY483" i="4"/>
  <c r="AY484" i="4"/>
  <c r="AY485" i="4"/>
  <c r="AY486" i="4"/>
  <c r="AY487" i="4"/>
  <c r="AY488" i="4"/>
  <c r="AY489" i="4"/>
  <c r="AY490" i="4"/>
  <c r="AY491" i="4"/>
  <c r="AY492" i="4"/>
  <c r="AY493" i="4"/>
  <c r="AY494" i="4"/>
  <c r="AY495" i="4"/>
  <c r="AY496" i="4"/>
  <c r="AY497" i="4"/>
  <c r="AY498" i="4"/>
  <c r="AY499" i="4"/>
  <c r="AY500" i="4"/>
  <c r="AY501" i="4"/>
  <c r="AY502" i="4"/>
  <c r="AY503" i="4"/>
  <c r="AY504" i="4"/>
  <c r="AY505" i="4"/>
  <c r="AY506" i="4"/>
  <c r="AY507" i="4"/>
  <c r="AY508" i="4"/>
  <c r="AY509" i="4"/>
  <c r="AY510" i="4"/>
  <c r="AY511" i="4"/>
  <c r="AY512" i="4"/>
  <c r="AY513" i="4"/>
  <c r="AY514" i="4"/>
  <c r="AY515" i="4"/>
  <c r="AY516" i="4"/>
  <c r="AY517" i="4"/>
  <c r="AY518" i="4"/>
  <c r="AY519" i="4"/>
  <c r="AY520" i="4"/>
  <c r="AY521" i="4"/>
  <c r="AY522" i="4"/>
  <c r="AY523" i="4"/>
  <c r="AY524" i="4"/>
  <c r="AY525" i="4"/>
  <c r="AY526" i="4"/>
  <c r="AY527" i="4"/>
  <c r="AY528" i="4"/>
  <c r="AY529" i="4"/>
  <c r="AY530" i="4"/>
  <c r="AY531" i="4"/>
  <c r="AY532" i="4"/>
  <c r="AY533" i="4"/>
  <c r="AY534" i="4"/>
  <c r="AY535" i="4"/>
  <c r="AY536" i="4"/>
  <c r="AY537" i="4"/>
  <c r="AY538" i="4"/>
  <c r="AY539" i="4"/>
  <c r="AY540" i="4"/>
  <c r="AY541" i="4"/>
  <c r="AY542" i="4"/>
  <c r="AY543" i="4"/>
  <c r="AY544" i="4"/>
  <c r="AY545" i="4"/>
  <c r="AY546" i="4"/>
  <c r="AY547" i="4"/>
  <c r="AY548" i="4"/>
  <c r="AY549" i="4"/>
  <c r="AY550" i="4"/>
  <c r="AY551" i="4"/>
  <c r="AY552" i="4"/>
  <c r="AY553" i="4"/>
  <c r="AY554" i="4"/>
  <c r="AY555" i="4"/>
  <c r="AY556" i="4"/>
  <c r="AY557" i="4"/>
  <c r="AY558" i="4"/>
  <c r="AY559" i="4"/>
  <c r="AX434" i="4"/>
  <c r="AX435" i="4"/>
  <c r="AX436" i="4"/>
  <c r="AX437" i="4"/>
  <c r="AX438" i="4"/>
  <c r="AX439" i="4"/>
  <c r="AX440" i="4"/>
  <c r="AX441" i="4"/>
  <c r="AX442" i="4"/>
  <c r="AX443" i="4"/>
  <c r="AX444" i="4"/>
  <c r="AX445" i="4"/>
  <c r="AX446" i="4"/>
  <c r="AX447" i="4"/>
  <c r="AX448" i="4"/>
  <c r="AX449" i="4"/>
  <c r="AX450" i="4"/>
  <c r="AX451" i="4"/>
  <c r="AX452" i="4"/>
  <c r="AX453" i="4"/>
  <c r="AX454" i="4"/>
  <c r="AX455" i="4"/>
  <c r="AX456" i="4"/>
  <c r="AX457" i="4"/>
  <c r="AX458" i="4"/>
  <c r="AX459" i="4"/>
  <c r="AX460" i="4"/>
  <c r="AX461" i="4"/>
  <c r="AX462" i="4"/>
  <c r="AX463" i="4"/>
  <c r="AX464" i="4"/>
  <c r="AX465" i="4"/>
  <c r="AX466" i="4"/>
  <c r="AX467" i="4"/>
  <c r="AX468" i="4"/>
  <c r="AX469" i="4"/>
  <c r="AX470" i="4"/>
  <c r="AX471" i="4"/>
  <c r="AX472" i="4"/>
  <c r="AX473" i="4"/>
  <c r="AX474" i="4"/>
  <c r="AX475" i="4"/>
  <c r="AX476" i="4"/>
  <c r="AX477" i="4"/>
  <c r="AX478" i="4"/>
  <c r="AX479" i="4"/>
  <c r="AX480" i="4"/>
  <c r="AX481" i="4"/>
  <c r="AX482" i="4"/>
  <c r="AX483" i="4"/>
  <c r="AX484" i="4"/>
  <c r="AX485" i="4"/>
  <c r="AX486" i="4"/>
  <c r="AX487" i="4"/>
  <c r="AX488" i="4"/>
  <c r="AX489" i="4"/>
  <c r="AX490" i="4"/>
  <c r="AX491" i="4"/>
  <c r="AX492" i="4"/>
  <c r="AX493" i="4"/>
  <c r="AX494" i="4"/>
  <c r="AX495" i="4"/>
  <c r="AX496" i="4"/>
  <c r="AX497" i="4"/>
  <c r="AX498" i="4"/>
  <c r="AX499" i="4"/>
  <c r="AX500" i="4"/>
  <c r="AX501" i="4"/>
  <c r="AX502" i="4"/>
  <c r="AX503" i="4"/>
  <c r="AX504" i="4"/>
  <c r="AX505" i="4"/>
  <c r="AX506" i="4"/>
  <c r="AX507" i="4"/>
  <c r="AX508" i="4"/>
  <c r="AX509" i="4"/>
  <c r="AX510" i="4"/>
  <c r="AX511" i="4"/>
  <c r="AX512" i="4"/>
  <c r="AX513" i="4"/>
  <c r="AX514" i="4"/>
  <c r="AX515" i="4"/>
  <c r="AX516" i="4"/>
  <c r="AX517" i="4"/>
  <c r="AX518" i="4"/>
  <c r="AX519" i="4"/>
  <c r="AX520" i="4"/>
  <c r="AX521" i="4"/>
  <c r="AX522" i="4"/>
  <c r="AX523" i="4"/>
  <c r="AX524" i="4"/>
  <c r="AX525" i="4"/>
  <c r="AX526" i="4"/>
  <c r="AX527" i="4"/>
  <c r="AX528" i="4"/>
  <c r="AX529" i="4"/>
  <c r="AX530" i="4"/>
  <c r="AX531" i="4"/>
  <c r="AX532" i="4"/>
  <c r="AX533" i="4"/>
  <c r="AX534" i="4"/>
  <c r="AX535" i="4"/>
  <c r="AX536" i="4"/>
  <c r="AX537" i="4"/>
  <c r="AX538" i="4"/>
  <c r="AX539" i="4"/>
  <c r="AX540" i="4"/>
  <c r="AX541" i="4"/>
  <c r="AX542" i="4"/>
  <c r="AX543" i="4"/>
  <c r="AX544" i="4"/>
  <c r="AX545" i="4"/>
  <c r="AX546" i="4"/>
  <c r="AX547" i="4"/>
  <c r="AX548" i="4"/>
  <c r="AX549" i="4"/>
  <c r="AX550" i="4"/>
  <c r="AX551" i="4"/>
  <c r="AX552" i="4"/>
  <c r="AX553" i="4"/>
  <c r="AX554" i="4"/>
  <c r="AX555" i="4"/>
  <c r="AX556" i="4"/>
  <c r="AX557" i="4"/>
  <c r="AX558" i="4"/>
  <c r="AX559" i="4"/>
  <c r="AW434" i="4"/>
  <c r="AW435" i="4"/>
  <c r="AW436" i="4"/>
  <c r="AW437" i="4"/>
  <c r="AW438" i="4"/>
  <c r="AW439" i="4"/>
  <c r="AW440" i="4"/>
  <c r="AW441" i="4"/>
  <c r="AW442" i="4"/>
  <c r="AW443" i="4"/>
  <c r="AW444" i="4"/>
  <c r="AW445" i="4"/>
  <c r="AW446" i="4"/>
  <c r="AW447" i="4"/>
  <c r="AW448" i="4"/>
  <c r="AW449" i="4"/>
  <c r="AW450" i="4"/>
  <c r="AW451" i="4"/>
  <c r="AW452" i="4"/>
  <c r="AW453" i="4"/>
  <c r="AW454" i="4"/>
  <c r="AW455" i="4"/>
  <c r="AW456" i="4"/>
  <c r="AW457" i="4"/>
  <c r="AW458" i="4"/>
  <c r="AW459" i="4"/>
  <c r="AW460" i="4"/>
  <c r="AW461" i="4"/>
  <c r="AW462" i="4"/>
  <c r="AW463" i="4"/>
  <c r="AW464" i="4"/>
  <c r="AW465" i="4"/>
  <c r="AW466" i="4"/>
  <c r="AW467" i="4"/>
  <c r="AW468" i="4"/>
  <c r="AW469" i="4"/>
  <c r="AW470" i="4"/>
  <c r="AW471" i="4"/>
  <c r="AW472" i="4"/>
  <c r="AW473" i="4"/>
  <c r="AW474" i="4"/>
  <c r="AW475" i="4"/>
  <c r="AW476" i="4"/>
  <c r="AW477" i="4"/>
  <c r="AW478" i="4"/>
  <c r="AW479" i="4"/>
  <c r="AW480" i="4"/>
  <c r="AW481" i="4"/>
  <c r="AW482" i="4"/>
  <c r="AW483" i="4"/>
  <c r="AW484" i="4"/>
  <c r="AW485" i="4"/>
  <c r="AW486" i="4"/>
  <c r="AW487" i="4"/>
  <c r="AW488" i="4"/>
  <c r="AW489" i="4"/>
  <c r="AW490" i="4"/>
  <c r="AW491" i="4"/>
  <c r="AW492" i="4"/>
  <c r="AW493" i="4"/>
  <c r="AW494" i="4"/>
  <c r="AW495" i="4"/>
  <c r="AW496" i="4"/>
  <c r="AW497" i="4"/>
  <c r="AW498" i="4"/>
  <c r="AW499" i="4"/>
  <c r="AW500" i="4"/>
  <c r="AW501" i="4"/>
  <c r="AW502" i="4"/>
  <c r="AW503" i="4"/>
  <c r="AW504" i="4"/>
  <c r="AW505" i="4"/>
  <c r="AW506" i="4"/>
  <c r="AW507" i="4"/>
  <c r="AW508" i="4"/>
  <c r="AW509" i="4"/>
  <c r="AW510" i="4"/>
  <c r="AW511" i="4"/>
  <c r="AW512" i="4"/>
  <c r="AW513" i="4"/>
  <c r="AW514" i="4"/>
  <c r="AW515" i="4"/>
  <c r="AW516" i="4"/>
  <c r="AW517" i="4"/>
  <c r="AW518" i="4"/>
  <c r="AW519" i="4"/>
  <c r="AW520" i="4"/>
  <c r="AW521" i="4"/>
  <c r="AW522" i="4"/>
  <c r="AW523" i="4"/>
  <c r="AW524" i="4"/>
  <c r="AW525" i="4"/>
  <c r="AW526" i="4"/>
  <c r="AW527" i="4"/>
  <c r="AW528" i="4"/>
  <c r="AW529" i="4"/>
  <c r="AW530" i="4"/>
  <c r="AW531" i="4"/>
  <c r="AW532" i="4"/>
  <c r="AW533" i="4"/>
  <c r="AW534" i="4"/>
  <c r="AW535" i="4"/>
  <c r="AW536" i="4"/>
  <c r="AW537" i="4"/>
  <c r="AW538" i="4"/>
  <c r="AW539" i="4"/>
  <c r="AW540" i="4"/>
  <c r="AW541" i="4"/>
  <c r="AW542" i="4"/>
  <c r="AW543" i="4"/>
  <c r="AW544" i="4"/>
  <c r="AW545" i="4"/>
  <c r="AW546" i="4"/>
  <c r="AW547" i="4"/>
  <c r="AW548" i="4"/>
  <c r="AW549" i="4"/>
  <c r="AW550" i="4"/>
  <c r="AW551" i="4"/>
  <c r="AW552" i="4"/>
  <c r="AW553" i="4"/>
  <c r="AW554" i="4"/>
  <c r="AW555" i="4"/>
  <c r="AW556" i="4"/>
  <c r="AW557" i="4"/>
  <c r="AW558" i="4"/>
  <c r="AW559" i="4"/>
  <c r="AV434" i="4"/>
  <c r="AV435" i="4"/>
  <c r="AV436" i="4"/>
  <c r="AV437" i="4"/>
  <c r="AV438" i="4"/>
  <c r="AV439" i="4"/>
  <c r="AV440" i="4"/>
  <c r="AV441" i="4"/>
  <c r="AV442" i="4"/>
  <c r="AV443" i="4"/>
  <c r="AV444" i="4"/>
  <c r="AV445" i="4"/>
  <c r="AV446" i="4"/>
  <c r="AV447" i="4"/>
  <c r="AV448" i="4"/>
  <c r="AV449" i="4"/>
  <c r="AV450" i="4"/>
  <c r="AV451" i="4"/>
  <c r="AV452" i="4"/>
  <c r="AV453" i="4"/>
  <c r="AV454" i="4"/>
  <c r="AV455" i="4"/>
  <c r="AV456" i="4"/>
  <c r="AV457" i="4"/>
  <c r="AV458" i="4"/>
  <c r="AV459" i="4"/>
  <c r="AV460" i="4"/>
  <c r="AV461" i="4"/>
  <c r="AV462" i="4"/>
  <c r="AV463" i="4"/>
  <c r="AV464" i="4"/>
  <c r="AV465" i="4"/>
  <c r="AV466" i="4"/>
  <c r="AV467" i="4"/>
  <c r="AV468" i="4"/>
  <c r="AV469" i="4"/>
  <c r="AV470" i="4"/>
  <c r="AV471" i="4"/>
  <c r="AV472" i="4"/>
  <c r="AV473" i="4"/>
  <c r="AV474" i="4"/>
  <c r="AV475" i="4"/>
  <c r="AV476" i="4"/>
  <c r="AV477" i="4"/>
  <c r="AV478" i="4"/>
  <c r="AV479" i="4"/>
  <c r="AV480" i="4"/>
  <c r="AV481" i="4"/>
  <c r="AV482" i="4"/>
  <c r="AV483" i="4"/>
  <c r="AV484" i="4"/>
  <c r="AV485" i="4"/>
  <c r="AV486" i="4"/>
  <c r="AV487" i="4"/>
  <c r="AV488" i="4"/>
  <c r="AV489" i="4"/>
  <c r="AV490" i="4"/>
  <c r="AV491" i="4"/>
  <c r="AV492" i="4"/>
  <c r="AV493" i="4"/>
  <c r="AV494" i="4"/>
  <c r="AV495" i="4"/>
  <c r="AV496" i="4"/>
  <c r="AV497" i="4"/>
  <c r="AV498" i="4"/>
  <c r="AV499" i="4"/>
  <c r="AV500" i="4"/>
  <c r="AV501" i="4"/>
  <c r="AV502" i="4"/>
  <c r="AV503" i="4"/>
  <c r="AV504" i="4"/>
  <c r="AV505" i="4"/>
  <c r="AV506" i="4"/>
  <c r="AV507" i="4"/>
  <c r="AV508" i="4"/>
  <c r="AV509" i="4"/>
  <c r="AV510" i="4"/>
  <c r="AV511" i="4"/>
  <c r="AV512" i="4"/>
  <c r="AV513" i="4"/>
  <c r="AV514" i="4"/>
  <c r="AV515" i="4"/>
  <c r="AV516" i="4"/>
  <c r="AV517" i="4"/>
  <c r="AV518" i="4"/>
  <c r="AV519" i="4"/>
  <c r="AV520" i="4"/>
  <c r="AV521" i="4"/>
  <c r="AV522" i="4"/>
  <c r="AV523" i="4"/>
  <c r="AV524" i="4"/>
  <c r="AV525" i="4"/>
  <c r="AV526" i="4"/>
  <c r="AV527" i="4"/>
  <c r="AV528" i="4"/>
  <c r="AV529" i="4"/>
  <c r="AV530" i="4"/>
  <c r="AV531" i="4"/>
  <c r="AV532" i="4"/>
  <c r="AV533" i="4"/>
  <c r="AV534" i="4"/>
  <c r="AV535" i="4"/>
  <c r="AV536" i="4"/>
  <c r="AV537" i="4"/>
  <c r="AV538" i="4"/>
  <c r="AV539" i="4"/>
  <c r="AV540" i="4"/>
  <c r="AV541" i="4"/>
  <c r="AV542" i="4"/>
  <c r="AV543" i="4"/>
  <c r="AV544" i="4"/>
  <c r="AV545" i="4"/>
  <c r="AV546" i="4"/>
  <c r="AV547" i="4"/>
  <c r="AV548" i="4"/>
  <c r="AV549" i="4"/>
  <c r="AV550" i="4"/>
  <c r="AV551" i="4"/>
  <c r="AV552" i="4"/>
  <c r="AV553" i="4"/>
  <c r="AV554" i="4"/>
  <c r="AV555" i="4"/>
  <c r="AV556" i="4"/>
  <c r="AV557" i="4"/>
  <c r="AV558" i="4"/>
  <c r="AV559" i="4"/>
  <c r="AU434" i="4"/>
  <c r="AU435" i="4"/>
  <c r="AU436" i="4"/>
  <c r="AU437" i="4"/>
  <c r="AU438" i="4"/>
  <c r="AU439" i="4"/>
  <c r="AU440" i="4"/>
  <c r="AU441" i="4"/>
  <c r="AU442" i="4"/>
  <c r="AU443" i="4"/>
  <c r="AU444" i="4"/>
  <c r="AU445" i="4"/>
  <c r="AU446" i="4"/>
  <c r="AU447" i="4"/>
  <c r="AU448" i="4"/>
  <c r="AU449" i="4"/>
  <c r="AU450" i="4"/>
  <c r="AU451" i="4"/>
  <c r="AU452" i="4"/>
  <c r="AU453" i="4"/>
  <c r="AU454" i="4"/>
  <c r="AU455" i="4"/>
  <c r="AU456" i="4"/>
  <c r="AU457" i="4"/>
  <c r="AU458" i="4"/>
  <c r="AU459" i="4"/>
  <c r="AU460" i="4"/>
  <c r="AU461" i="4"/>
  <c r="AU462" i="4"/>
  <c r="AU463" i="4"/>
  <c r="AU464" i="4"/>
  <c r="AU465" i="4"/>
  <c r="AU466" i="4"/>
  <c r="AU467" i="4"/>
  <c r="AU468" i="4"/>
  <c r="AU469" i="4"/>
  <c r="AU470" i="4"/>
  <c r="AU471" i="4"/>
  <c r="AU472" i="4"/>
  <c r="AU473" i="4"/>
  <c r="AU474" i="4"/>
  <c r="AU475" i="4"/>
  <c r="AU476" i="4"/>
  <c r="AU477" i="4"/>
  <c r="AU478" i="4"/>
  <c r="AU479" i="4"/>
  <c r="AU480" i="4"/>
  <c r="AU481" i="4"/>
  <c r="AU482" i="4"/>
  <c r="AU483" i="4"/>
  <c r="AU484" i="4"/>
  <c r="AU485" i="4"/>
  <c r="AU486" i="4"/>
  <c r="AU487" i="4"/>
  <c r="AU488" i="4"/>
  <c r="AU489" i="4"/>
  <c r="AU490" i="4"/>
  <c r="AU491" i="4"/>
  <c r="AU492" i="4"/>
  <c r="AU493" i="4"/>
  <c r="AU494" i="4"/>
  <c r="AU495" i="4"/>
  <c r="AU496" i="4"/>
  <c r="AU497" i="4"/>
  <c r="AU498" i="4"/>
  <c r="AU499" i="4"/>
  <c r="AU500" i="4"/>
  <c r="AU501" i="4"/>
  <c r="AU502" i="4"/>
  <c r="AU503" i="4"/>
  <c r="AU504" i="4"/>
  <c r="AU505" i="4"/>
  <c r="AU506" i="4"/>
  <c r="AU507" i="4"/>
  <c r="AU508" i="4"/>
  <c r="AU509" i="4"/>
  <c r="AU510" i="4"/>
  <c r="AU511" i="4"/>
  <c r="AU512" i="4"/>
  <c r="AU513" i="4"/>
  <c r="AU514" i="4"/>
  <c r="AU515" i="4"/>
  <c r="AU516" i="4"/>
  <c r="AU517" i="4"/>
  <c r="AU518" i="4"/>
  <c r="AU519" i="4"/>
  <c r="AU520" i="4"/>
  <c r="AU521" i="4"/>
  <c r="AU522" i="4"/>
  <c r="AU523" i="4"/>
  <c r="AU524" i="4"/>
  <c r="AU525" i="4"/>
  <c r="AU526" i="4"/>
  <c r="AU527" i="4"/>
  <c r="AU528" i="4"/>
  <c r="AU529" i="4"/>
  <c r="AU530" i="4"/>
  <c r="AU531" i="4"/>
  <c r="AU532" i="4"/>
  <c r="AU533" i="4"/>
  <c r="AU534" i="4"/>
  <c r="AU535" i="4"/>
  <c r="AU536" i="4"/>
  <c r="AU537" i="4"/>
  <c r="AU538" i="4"/>
  <c r="AU539" i="4"/>
  <c r="AU540" i="4"/>
  <c r="AU541" i="4"/>
  <c r="AU542" i="4"/>
  <c r="AU543" i="4"/>
  <c r="AU544" i="4"/>
  <c r="AU545" i="4"/>
  <c r="AU546" i="4"/>
  <c r="AU547" i="4"/>
  <c r="AU548" i="4"/>
  <c r="AU549" i="4"/>
  <c r="AU550" i="4"/>
  <c r="AU551" i="4"/>
  <c r="AU552" i="4"/>
  <c r="AU553" i="4"/>
  <c r="AU554" i="4"/>
  <c r="AU555" i="4"/>
  <c r="AU556" i="4"/>
  <c r="AU557" i="4"/>
  <c r="AU558" i="4"/>
  <c r="AU559" i="4"/>
  <c r="AT434" i="4"/>
  <c r="AT435" i="4"/>
  <c r="AT436" i="4"/>
  <c r="AT437" i="4"/>
  <c r="AT438" i="4"/>
  <c r="AT439" i="4"/>
  <c r="AT440" i="4"/>
  <c r="AT441" i="4"/>
  <c r="AT442" i="4"/>
  <c r="AT443" i="4"/>
  <c r="AT444" i="4"/>
  <c r="AT445" i="4"/>
  <c r="AT446" i="4"/>
  <c r="AT447" i="4"/>
  <c r="AT448" i="4"/>
  <c r="AT449" i="4"/>
  <c r="AT450" i="4"/>
  <c r="AT451" i="4"/>
  <c r="AT452" i="4"/>
  <c r="AT453" i="4"/>
  <c r="AT454" i="4"/>
  <c r="AT455" i="4"/>
  <c r="AT456" i="4"/>
  <c r="AT457" i="4"/>
  <c r="AT458" i="4"/>
  <c r="AT459" i="4"/>
  <c r="AT460" i="4"/>
  <c r="AT461" i="4"/>
  <c r="AT462" i="4"/>
  <c r="AT463" i="4"/>
  <c r="AT464" i="4"/>
  <c r="AT465" i="4"/>
  <c r="AT466" i="4"/>
  <c r="AT467" i="4"/>
  <c r="AT468" i="4"/>
  <c r="AT469" i="4"/>
  <c r="AT470" i="4"/>
  <c r="AT471" i="4"/>
  <c r="AT472" i="4"/>
  <c r="AT473" i="4"/>
  <c r="AT474" i="4"/>
  <c r="AT475" i="4"/>
  <c r="AT476" i="4"/>
  <c r="AT477" i="4"/>
  <c r="AT478" i="4"/>
  <c r="AT479" i="4"/>
  <c r="AT480" i="4"/>
  <c r="AT481" i="4"/>
  <c r="AT482" i="4"/>
  <c r="AT483" i="4"/>
  <c r="AT484" i="4"/>
  <c r="AT485" i="4"/>
  <c r="AT486" i="4"/>
  <c r="AT487" i="4"/>
  <c r="AT488" i="4"/>
  <c r="AT489" i="4"/>
  <c r="AT490" i="4"/>
  <c r="AT491" i="4"/>
  <c r="AT492" i="4"/>
  <c r="AT493" i="4"/>
  <c r="AT494" i="4"/>
  <c r="AT495" i="4"/>
  <c r="AT496" i="4"/>
  <c r="AT497" i="4"/>
  <c r="AT498" i="4"/>
  <c r="AT499" i="4"/>
  <c r="AT500" i="4"/>
  <c r="AT501" i="4"/>
  <c r="AT502" i="4"/>
  <c r="AT503" i="4"/>
  <c r="AT504" i="4"/>
  <c r="AT505" i="4"/>
  <c r="AT506" i="4"/>
  <c r="AT507" i="4"/>
  <c r="AT508" i="4"/>
  <c r="AT509" i="4"/>
  <c r="AT510" i="4"/>
  <c r="AT511" i="4"/>
  <c r="AT512" i="4"/>
  <c r="AT513" i="4"/>
  <c r="AT514" i="4"/>
  <c r="AT515" i="4"/>
  <c r="AT516" i="4"/>
  <c r="AT517" i="4"/>
  <c r="AT518" i="4"/>
  <c r="AT519" i="4"/>
  <c r="AT520" i="4"/>
  <c r="AT521" i="4"/>
  <c r="AT522" i="4"/>
  <c r="AT523" i="4"/>
  <c r="AT524" i="4"/>
  <c r="AT525" i="4"/>
  <c r="AT526" i="4"/>
  <c r="AT527" i="4"/>
  <c r="AT528" i="4"/>
  <c r="AT529" i="4"/>
  <c r="AT530" i="4"/>
  <c r="AT531" i="4"/>
  <c r="AT532" i="4"/>
  <c r="AT533" i="4"/>
  <c r="AT534" i="4"/>
  <c r="AT535" i="4"/>
  <c r="AT536" i="4"/>
  <c r="AT537" i="4"/>
  <c r="AT538" i="4"/>
  <c r="AT539" i="4"/>
  <c r="AT540" i="4"/>
  <c r="AT541" i="4"/>
  <c r="AT542" i="4"/>
  <c r="AT543" i="4"/>
  <c r="AT544" i="4"/>
  <c r="AT545" i="4"/>
  <c r="AT546" i="4"/>
  <c r="AT547" i="4"/>
  <c r="AT548" i="4"/>
  <c r="AT549" i="4"/>
  <c r="AT550" i="4"/>
  <c r="AT551" i="4"/>
  <c r="AT552" i="4"/>
  <c r="AT553" i="4"/>
  <c r="AT554" i="4"/>
  <c r="AT555" i="4"/>
  <c r="AT556" i="4"/>
  <c r="AT557" i="4"/>
  <c r="AT558" i="4"/>
  <c r="AT559" i="4"/>
  <c r="AS434" i="4"/>
  <c r="AS435" i="4"/>
  <c r="AS436" i="4"/>
  <c r="AS437" i="4"/>
  <c r="AS438" i="4"/>
  <c r="AS439" i="4"/>
  <c r="AS440" i="4"/>
  <c r="AS441" i="4"/>
  <c r="AS442" i="4"/>
  <c r="AS443" i="4"/>
  <c r="AS444" i="4"/>
  <c r="AS445" i="4"/>
  <c r="AS446" i="4"/>
  <c r="AS447" i="4"/>
  <c r="AS448" i="4"/>
  <c r="AS449" i="4"/>
  <c r="AS450" i="4"/>
  <c r="AS451" i="4"/>
  <c r="AS452" i="4"/>
  <c r="AS453" i="4"/>
  <c r="AS454" i="4"/>
  <c r="AS455" i="4"/>
  <c r="AS456" i="4"/>
  <c r="AS457" i="4"/>
  <c r="AS458" i="4"/>
  <c r="AS459" i="4"/>
  <c r="AS460" i="4"/>
  <c r="AS461" i="4"/>
  <c r="AS462" i="4"/>
  <c r="AS463" i="4"/>
  <c r="AS464" i="4"/>
  <c r="AS465" i="4"/>
  <c r="AS466" i="4"/>
  <c r="AS467" i="4"/>
  <c r="AS468" i="4"/>
  <c r="AS469" i="4"/>
  <c r="AS470" i="4"/>
  <c r="AS471" i="4"/>
  <c r="AS472" i="4"/>
  <c r="AS473" i="4"/>
  <c r="AS474" i="4"/>
  <c r="AS475" i="4"/>
  <c r="AS476" i="4"/>
  <c r="AS477" i="4"/>
  <c r="AS478" i="4"/>
  <c r="AS479" i="4"/>
  <c r="AS480" i="4"/>
  <c r="AS481" i="4"/>
  <c r="AS482" i="4"/>
  <c r="AS483" i="4"/>
  <c r="AS484" i="4"/>
  <c r="AS485" i="4"/>
  <c r="AS486" i="4"/>
  <c r="AS487" i="4"/>
  <c r="AS488" i="4"/>
  <c r="AS489" i="4"/>
  <c r="AS490" i="4"/>
  <c r="AS491" i="4"/>
  <c r="AS492" i="4"/>
  <c r="AS493" i="4"/>
  <c r="AS494" i="4"/>
  <c r="AS495" i="4"/>
  <c r="AS496" i="4"/>
  <c r="AS497" i="4"/>
  <c r="AS498" i="4"/>
  <c r="AS499" i="4"/>
  <c r="AS500" i="4"/>
  <c r="AS501" i="4"/>
  <c r="AS502" i="4"/>
  <c r="AS503" i="4"/>
  <c r="AS504" i="4"/>
  <c r="AS505" i="4"/>
  <c r="AS506" i="4"/>
  <c r="AS507" i="4"/>
  <c r="AS508" i="4"/>
  <c r="AS509" i="4"/>
  <c r="AS510" i="4"/>
  <c r="AS511" i="4"/>
  <c r="AS512" i="4"/>
  <c r="AS513" i="4"/>
  <c r="AS514" i="4"/>
  <c r="AS515" i="4"/>
  <c r="AS516" i="4"/>
  <c r="AS517" i="4"/>
  <c r="AS518" i="4"/>
  <c r="AS519" i="4"/>
  <c r="AS520" i="4"/>
  <c r="AS521" i="4"/>
  <c r="AS522" i="4"/>
  <c r="AS523" i="4"/>
  <c r="AS524" i="4"/>
  <c r="AS525" i="4"/>
  <c r="AS526" i="4"/>
  <c r="AS527" i="4"/>
  <c r="AS528" i="4"/>
  <c r="AS529" i="4"/>
  <c r="AS530" i="4"/>
  <c r="AS531" i="4"/>
  <c r="AS532" i="4"/>
  <c r="AS533" i="4"/>
  <c r="AS534" i="4"/>
  <c r="AS535" i="4"/>
  <c r="AS536" i="4"/>
  <c r="AS537" i="4"/>
  <c r="AS538" i="4"/>
  <c r="AS539" i="4"/>
  <c r="AS540" i="4"/>
  <c r="AS541" i="4"/>
  <c r="AS542" i="4"/>
  <c r="AS543" i="4"/>
  <c r="AS544" i="4"/>
  <c r="AS545" i="4"/>
  <c r="AS546" i="4"/>
  <c r="AS547" i="4"/>
  <c r="AS548" i="4"/>
  <c r="AS549" i="4"/>
  <c r="AS550" i="4"/>
  <c r="AS551" i="4"/>
  <c r="AS552" i="4"/>
  <c r="AS553" i="4"/>
  <c r="AS554" i="4"/>
  <c r="AS555" i="4"/>
  <c r="AS556" i="4"/>
  <c r="AS557" i="4"/>
  <c r="AS558" i="4"/>
  <c r="AS559" i="4"/>
  <c r="AR433" i="4"/>
  <c r="AR434" i="4"/>
  <c r="AR435" i="4"/>
  <c r="AR436" i="4"/>
  <c r="AR437" i="4"/>
  <c r="AR438" i="4"/>
  <c r="AR439" i="4"/>
  <c r="AR440" i="4"/>
  <c r="AR441" i="4"/>
  <c r="AR442" i="4"/>
  <c r="AR443" i="4"/>
  <c r="AR444" i="4"/>
  <c r="AR445" i="4"/>
  <c r="AR446" i="4"/>
  <c r="AR447" i="4"/>
  <c r="AR448" i="4"/>
  <c r="AR449" i="4"/>
  <c r="AR450" i="4"/>
  <c r="AR451" i="4"/>
  <c r="AR452" i="4"/>
  <c r="AR453" i="4"/>
  <c r="AR454" i="4"/>
  <c r="AR455" i="4"/>
  <c r="AR456" i="4"/>
  <c r="AR457" i="4"/>
  <c r="AR458" i="4"/>
  <c r="AR459" i="4"/>
  <c r="AR460" i="4"/>
  <c r="AR461" i="4"/>
  <c r="AR462" i="4"/>
  <c r="AR463" i="4"/>
  <c r="AR464" i="4"/>
  <c r="AR465" i="4"/>
  <c r="AR466" i="4"/>
  <c r="AR467" i="4"/>
  <c r="AR468" i="4"/>
  <c r="AR469" i="4"/>
  <c r="AR470" i="4"/>
  <c r="AR471" i="4"/>
  <c r="AR472" i="4"/>
  <c r="AR473" i="4"/>
  <c r="AR474" i="4"/>
  <c r="AR475" i="4"/>
  <c r="AR476" i="4"/>
  <c r="AR477" i="4"/>
  <c r="AR478" i="4"/>
  <c r="AR479" i="4"/>
  <c r="AR480" i="4"/>
  <c r="AR481" i="4"/>
  <c r="AR482" i="4"/>
  <c r="AR483" i="4"/>
  <c r="AR484" i="4"/>
  <c r="AR485" i="4"/>
  <c r="AR486" i="4"/>
  <c r="AR487" i="4"/>
  <c r="AR488" i="4"/>
  <c r="AR489" i="4"/>
  <c r="AR490" i="4"/>
  <c r="AR491" i="4"/>
  <c r="AR492" i="4"/>
  <c r="AR493" i="4"/>
  <c r="AR494" i="4"/>
  <c r="AR495" i="4"/>
  <c r="AR496" i="4"/>
  <c r="AR497" i="4"/>
  <c r="AR498" i="4"/>
  <c r="AR499" i="4"/>
  <c r="AR500" i="4"/>
  <c r="AR501" i="4"/>
  <c r="AR502" i="4"/>
  <c r="AR503" i="4"/>
  <c r="AR504" i="4"/>
  <c r="AR505" i="4"/>
  <c r="AR506" i="4"/>
  <c r="AR507" i="4"/>
  <c r="AR508" i="4"/>
  <c r="AR509" i="4"/>
  <c r="AR510" i="4"/>
  <c r="AR511" i="4"/>
  <c r="AR512" i="4"/>
  <c r="AR513" i="4"/>
  <c r="AR514" i="4"/>
  <c r="AR515" i="4"/>
  <c r="AR516" i="4"/>
  <c r="AR517" i="4"/>
  <c r="AR518" i="4"/>
  <c r="AR519" i="4"/>
  <c r="AR520" i="4"/>
  <c r="AR521" i="4"/>
  <c r="AR522" i="4"/>
  <c r="AR523" i="4"/>
  <c r="AR524" i="4"/>
  <c r="AR525" i="4"/>
  <c r="AR526" i="4"/>
  <c r="AR527" i="4"/>
  <c r="AR528" i="4"/>
  <c r="AR529" i="4"/>
  <c r="AR530" i="4"/>
  <c r="AR531" i="4"/>
  <c r="AR532" i="4"/>
  <c r="AR533" i="4"/>
  <c r="AR534" i="4"/>
  <c r="AR535" i="4"/>
  <c r="AR536" i="4"/>
  <c r="AR537" i="4"/>
  <c r="AR538" i="4"/>
  <c r="AR539" i="4"/>
  <c r="AR540" i="4"/>
  <c r="AR541" i="4"/>
  <c r="AR542" i="4"/>
  <c r="AR543" i="4"/>
  <c r="AR544" i="4"/>
  <c r="AR545" i="4"/>
  <c r="AR546" i="4"/>
  <c r="AR547" i="4"/>
  <c r="AR548" i="4"/>
  <c r="AR549" i="4"/>
  <c r="AR550" i="4"/>
  <c r="AR551" i="4"/>
  <c r="AR552" i="4"/>
  <c r="AR553" i="4"/>
  <c r="AR554" i="4"/>
  <c r="AR555" i="4"/>
  <c r="AR556" i="4"/>
  <c r="AR557" i="4"/>
  <c r="AR558" i="4"/>
  <c r="AR559" i="4"/>
  <c r="AY433" i="4"/>
  <c r="AX433" i="4"/>
  <c r="AW433" i="4"/>
  <c r="AV433" i="4"/>
  <c r="AU433" i="4"/>
  <c r="AT433" i="4"/>
  <c r="AS433" i="4"/>
  <c r="AY293" i="4"/>
  <c r="AY294" i="4"/>
  <c r="AY295" i="4"/>
  <c r="AY296" i="4"/>
  <c r="AY297" i="4"/>
  <c r="AY298" i="4"/>
  <c r="AY299" i="4"/>
  <c r="AY300" i="4"/>
  <c r="AY301" i="4"/>
  <c r="AY302" i="4"/>
  <c r="AY303" i="4"/>
  <c r="AY304" i="4"/>
  <c r="AY305" i="4"/>
  <c r="AY306" i="4"/>
  <c r="AY307" i="4"/>
  <c r="AY308" i="4"/>
  <c r="AY309" i="4"/>
  <c r="AY310" i="4"/>
  <c r="AY311" i="4"/>
  <c r="AY312" i="4"/>
  <c r="AY313" i="4"/>
  <c r="AY314" i="4"/>
  <c r="AY315" i="4"/>
  <c r="AY316" i="4"/>
  <c r="AY317" i="4"/>
  <c r="AY318" i="4"/>
  <c r="AY319" i="4"/>
  <c r="AY320" i="4"/>
  <c r="AY321" i="4"/>
  <c r="AY322" i="4"/>
  <c r="AY323" i="4"/>
  <c r="AY324" i="4"/>
  <c r="AY325" i="4"/>
  <c r="AY326" i="4"/>
  <c r="AY327" i="4"/>
  <c r="AY328" i="4"/>
  <c r="AY329" i="4"/>
  <c r="AY330" i="4"/>
  <c r="AY331" i="4"/>
  <c r="AY332" i="4"/>
  <c r="AY333" i="4"/>
  <c r="AY334" i="4"/>
  <c r="AY335" i="4"/>
  <c r="AY336" i="4"/>
  <c r="AY337" i="4"/>
  <c r="AY338" i="4"/>
  <c r="AY339" i="4"/>
  <c r="AY340" i="4"/>
  <c r="AY341" i="4"/>
  <c r="AY342" i="4"/>
  <c r="AY343" i="4"/>
  <c r="AY344" i="4"/>
  <c r="AY345" i="4"/>
  <c r="AY346" i="4"/>
  <c r="AY347" i="4"/>
  <c r="AY348" i="4"/>
  <c r="AY349" i="4"/>
  <c r="AY350" i="4"/>
  <c r="AY351" i="4"/>
  <c r="AY352" i="4"/>
  <c r="AY353" i="4"/>
  <c r="AY354" i="4"/>
  <c r="AY355" i="4"/>
  <c r="AY356" i="4"/>
  <c r="AY357" i="4"/>
  <c r="AY358" i="4"/>
  <c r="AY359" i="4"/>
  <c r="AY360" i="4"/>
  <c r="AY361" i="4"/>
  <c r="AY362" i="4"/>
  <c r="AY363" i="4"/>
  <c r="AY364" i="4"/>
  <c r="AY365" i="4"/>
  <c r="AY366" i="4"/>
  <c r="AY367" i="4"/>
  <c r="AY368" i="4"/>
  <c r="AY369" i="4"/>
  <c r="AY370" i="4"/>
  <c r="AY371" i="4"/>
  <c r="AY372" i="4"/>
  <c r="AY373" i="4"/>
  <c r="AY374" i="4"/>
  <c r="AY375" i="4"/>
  <c r="AY376" i="4"/>
  <c r="AY377" i="4"/>
  <c r="AY378" i="4"/>
  <c r="AY379" i="4"/>
  <c r="AY380" i="4"/>
  <c r="AY381" i="4"/>
  <c r="AY382" i="4"/>
  <c r="AY383" i="4"/>
  <c r="AY384" i="4"/>
  <c r="AY385" i="4"/>
  <c r="AY386" i="4"/>
  <c r="AY387" i="4"/>
  <c r="AY388" i="4"/>
  <c r="AY389" i="4"/>
  <c r="AY390" i="4"/>
  <c r="AY391" i="4"/>
  <c r="AY392" i="4"/>
  <c r="AY393" i="4"/>
  <c r="AY394" i="4"/>
  <c r="AY395" i="4"/>
  <c r="AY396" i="4"/>
  <c r="AY397" i="4"/>
  <c r="AY398" i="4"/>
  <c r="AY399" i="4"/>
  <c r="AY400" i="4"/>
  <c r="AY401" i="4"/>
  <c r="AY402" i="4"/>
  <c r="AY403" i="4"/>
  <c r="AY404" i="4"/>
  <c r="AY405" i="4"/>
  <c r="AY406" i="4"/>
  <c r="AY407" i="4"/>
  <c r="AY408" i="4"/>
  <c r="AY409" i="4"/>
  <c r="AY410" i="4"/>
  <c r="AY411" i="4"/>
  <c r="AY412" i="4"/>
  <c r="AY413" i="4"/>
  <c r="AY414" i="4"/>
  <c r="AY415" i="4"/>
  <c r="AY416" i="4"/>
  <c r="AY417" i="4"/>
  <c r="AY418" i="4"/>
  <c r="AX293" i="4"/>
  <c r="AX294" i="4"/>
  <c r="AX295" i="4"/>
  <c r="AX296" i="4"/>
  <c r="AX297" i="4"/>
  <c r="AX298" i="4"/>
  <c r="AX299" i="4"/>
  <c r="AX300" i="4"/>
  <c r="AX301" i="4"/>
  <c r="AX302" i="4"/>
  <c r="AX303" i="4"/>
  <c r="AX304" i="4"/>
  <c r="AX305" i="4"/>
  <c r="AX306" i="4"/>
  <c r="AX307" i="4"/>
  <c r="AX308" i="4"/>
  <c r="AX309" i="4"/>
  <c r="AX310" i="4"/>
  <c r="AX311" i="4"/>
  <c r="AX312" i="4"/>
  <c r="AX313" i="4"/>
  <c r="AX314" i="4"/>
  <c r="AX315" i="4"/>
  <c r="AX316" i="4"/>
  <c r="AX317" i="4"/>
  <c r="AX318" i="4"/>
  <c r="AX319" i="4"/>
  <c r="AX320" i="4"/>
  <c r="AX321" i="4"/>
  <c r="AX322" i="4"/>
  <c r="AX323" i="4"/>
  <c r="AX324" i="4"/>
  <c r="AX325" i="4"/>
  <c r="AX326" i="4"/>
  <c r="AX327" i="4"/>
  <c r="AX328" i="4"/>
  <c r="AX329" i="4"/>
  <c r="AX330" i="4"/>
  <c r="AX331" i="4"/>
  <c r="AX332" i="4"/>
  <c r="AX333" i="4"/>
  <c r="AX334" i="4"/>
  <c r="AX335" i="4"/>
  <c r="AX336" i="4"/>
  <c r="AX337" i="4"/>
  <c r="AX338" i="4"/>
  <c r="AX339" i="4"/>
  <c r="AX340" i="4"/>
  <c r="AX341" i="4"/>
  <c r="AX342" i="4"/>
  <c r="AX343" i="4"/>
  <c r="AX344" i="4"/>
  <c r="AX345" i="4"/>
  <c r="AX346" i="4"/>
  <c r="AX347" i="4"/>
  <c r="AX348" i="4"/>
  <c r="AX349" i="4"/>
  <c r="AX350" i="4"/>
  <c r="AX351" i="4"/>
  <c r="AX352" i="4"/>
  <c r="AX353" i="4"/>
  <c r="AX354" i="4"/>
  <c r="AX355" i="4"/>
  <c r="AX356" i="4"/>
  <c r="AX357" i="4"/>
  <c r="AX358" i="4"/>
  <c r="AX359" i="4"/>
  <c r="AX360" i="4"/>
  <c r="AX361" i="4"/>
  <c r="AX362" i="4"/>
  <c r="AX363" i="4"/>
  <c r="AX364" i="4"/>
  <c r="AX365" i="4"/>
  <c r="AX366" i="4"/>
  <c r="AX367" i="4"/>
  <c r="AX368" i="4"/>
  <c r="AX369" i="4"/>
  <c r="AX370" i="4"/>
  <c r="AX371" i="4"/>
  <c r="AX372" i="4"/>
  <c r="AX373" i="4"/>
  <c r="AX374" i="4"/>
  <c r="AX375" i="4"/>
  <c r="AX376" i="4"/>
  <c r="AX377" i="4"/>
  <c r="AX378" i="4"/>
  <c r="AX379" i="4"/>
  <c r="AX380" i="4"/>
  <c r="AX381" i="4"/>
  <c r="AX382" i="4"/>
  <c r="AX383" i="4"/>
  <c r="AX384" i="4"/>
  <c r="AX385" i="4"/>
  <c r="AX386" i="4"/>
  <c r="AX387" i="4"/>
  <c r="AX388" i="4"/>
  <c r="AX389" i="4"/>
  <c r="AX390" i="4"/>
  <c r="AX391" i="4"/>
  <c r="AX392" i="4"/>
  <c r="AX393" i="4"/>
  <c r="AX394" i="4"/>
  <c r="AX395" i="4"/>
  <c r="AX396" i="4"/>
  <c r="AX397" i="4"/>
  <c r="AX398" i="4"/>
  <c r="AX399" i="4"/>
  <c r="AX400" i="4"/>
  <c r="AX401" i="4"/>
  <c r="AX402" i="4"/>
  <c r="AX403" i="4"/>
  <c r="AX404" i="4"/>
  <c r="AX405" i="4"/>
  <c r="AX406" i="4"/>
  <c r="AX407" i="4"/>
  <c r="AX408" i="4"/>
  <c r="AX409" i="4"/>
  <c r="AX410" i="4"/>
  <c r="AX411" i="4"/>
  <c r="AX412" i="4"/>
  <c r="AX413" i="4"/>
  <c r="AX414" i="4"/>
  <c r="AX415" i="4"/>
  <c r="AX416" i="4"/>
  <c r="AX417" i="4"/>
  <c r="AX418" i="4"/>
  <c r="AW293" i="4"/>
  <c r="AW294" i="4"/>
  <c r="AW295" i="4"/>
  <c r="AW296" i="4"/>
  <c r="AW297" i="4"/>
  <c r="AW298" i="4"/>
  <c r="AW299" i="4"/>
  <c r="AW300" i="4"/>
  <c r="AW301" i="4"/>
  <c r="AW302" i="4"/>
  <c r="AW303" i="4"/>
  <c r="AW304" i="4"/>
  <c r="AW305" i="4"/>
  <c r="AW306" i="4"/>
  <c r="AW307" i="4"/>
  <c r="AW308" i="4"/>
  <c r="AW309" i="4"/>
  <c r="AW310" i="4"/>
  <c r="AW311" i="4"/>
  <c r="AW312" i="4"/>
  <c r="AW313" i="4"/>
  <c r="AW314" i="4"/>
  <c r="AW315" i="4"/>
  <c r="AW316" i="4"/>
  <c r="AW317" i="4"/>
  <c r="AW318" i="4"/>
  <c r="AW319" i="4"/>
  <c r="AW320" i="4"/>
  <c r="AW321" i="4"/>
  <c r="AW322" i="4"/>
  <c r="AW323" i="4"/>
  <c r="AW324" i="4"/>
  <c r="AW325" i="4"/>
  <c r="AW326" i="4"/>
  <c r="AW327" i="4"/>
  <c r="AW328" i="4"/>
  <c r="AW329" i="4"/>
  <c r="AW330" i="4"/>
  <c r="AW331" i="4"/>
  <c r="AW332" i="4"/>
  <c r="AW333" i="4"/>
  <c r="AW334" i="4"/>
  <c r="AW335" i="4"/>
  <c r="AW336" i="4"/>
  <c r="AW337" i="4"/>
  <c r="AW338" i="4"/>
  <c r="AW339" i="4"/>
  <c r="AW340" i="4"/>
  <c r="AW341" i="4"/>
  <c r="AW342" i="4"/>
  <c r="AW343" i="4"/>
  <c r="AW344" i="4"/>
  <c r="AW345" i="4"/>
  <c r="AW346" i="4"/>
  <c r="AW347" i="4"/>
  <c r="AW348" i="4"/>
  <c r="AW349" i="4"/>
  <c r="AW350" i="4"/>
  <c r="AW351" i="4"/>
  <c r="AW352" i="4"/>
  <c r="AW353" i="4"/>
  <c r="AW354" i="4"/>
  <c r="AW355" i="4"/>
  <c r="AW356" i="4"/>
  <c r="AW357" i="4"/>
  <c r="AW358" i="4"/>
  <c r="AW359" i="4"/>
  <c r="AW360" i="4"/>
  <c r="AW361" i="4"/>
  <c r="AW362" i="4"/>
  <c r="AW363" i="4"/>
  <c r="AW364" i="4"/>
  <c r="AW365" i="4"/>
  <c r="AW366" i="4"/>
  <c r="AW367" i="4"/>
  <c r="AW368" i="4"/>
  <c r="AW369" i="4"/>
  <c r="AW370" i="4"/>
  <c r="AW371" i="4"/>
  <c r="AW372" i="4"/>
  <c r="AW373" i="4"/>
  <c r="AW374" i="4"/>
  <c r="AW375" i="4"/>
  <c r="AW376" i="4"/>
  <c r="AW377" i="4"/>
  <c r="AW378" i="4"/>
  <c r="AW379" i="4"/>
  <c r="AW380" i="4"/>
  <c r="AW381" i="4"/>
  <c r="AW382" i="4"/>
  <c r="AW383" i="4"/>
  <c r="AW384" i="4"/>
  <c r="AW385" i="4"/>
  <c r="AW386" i="4"/>
  <c r="AW387" i="4"/>
  <c r="AW388" i="4"/>
  <c r="AW389" i="4"/>
  <c r="AW390" i="4"/>
  <c r="AW391" i="4"/>
  <c r="AW392" i="4"/>
  <c r="AW393" i="4"/>
  <c r="AW394" i="4"/>
  <c r="AW395" i="4"/>
  <c r="AW396" i="4"/>
  <c r="AW397" i="4"/>
  <c r="AW398" i="4"/>
  <c r="AW399" i="4"/>
  <c r="AW400" i="4"/>
  <c r="AW401" i="4"/>
  <c r="AW402" i="4"/>
  <c r="AW403" i="4"/>
  <c r="AW404" i="4"/>
  <c r="AW405" i="4"/>
  <c r="AW406" i="4"/>
  <c r="AW407" i="4"/>
  <c r="AW408" i="4"/>
  <c r="AW409" i="4"/>
  <c r="AW410" i="4"/>
  <c r="AW411" i="4"/>
  <c r="AW412" i="4"/>
  <c r="AW413" i="4"/>
  <c r="AW414" i="4"/>
  <c r="AW415" i="4"/>
  <c r="AW416" i="4"/>
  <c r="AW417" i="4"/>
  <c r="AW418" i="4"/>
  <c r="AV293" i="4"/>
  <c r="AV294" i="4"/>
  <c r="AV295" i="4"/>
  <c r="AV296" i="4"/>
  <c r="AV297" i="4"/>
  <c r="AV298" i="4"/>
  <c r="AV299" i="4"/>
  <c r="AV300" i="4"/>
  <c r="AV301" i="4"/>
  <c r="AV302" i="4"/>
  <c r="AV303" i="4"/>
  <c r="AV304" i="4"/>
  <c r="AV305" i="4"/>
  <c r="AV306" i="4"/>
  <c r="AV307" i="4"/>
  <c r="AV308" i="4"/>
  <c r="AV309" i="4"/>
  <c r="AV310" i="4"/>
  <c r="AV311" i="4"/>
  <c r="AV312" i="4"/>
  <c r="AV313" i="4"/>
  <c r="AV314" i="4"/>
  <c r="AV315" i="4"/>
  <c r="AV316" i="4"/>
  <c r="AV317" i="4"/>
  <c r="AV318" i="4"/>
  <c r="AV319" i="4"/>
  <c r="AV320" i="4"/>
  <c r="AV321" i="4"/>
  <c r="AV322" i="4"/>
  <c r="AV323" i="4"/>
  <c r="AV324" i="4"/>
  <c r="AV325" i="4"/>
  <c r="AV326" i="4"/>
  <c r="AV327" i="4"/>
  <c r="AV328" i="4"/>
  <c r="AV329" i="4"/>
  <c r="AV330" i="4"/>
  <c r="AV331" i="4"/>
  <c r="AV332" i="4"/>
  <c r="AV333" i="4"/>
  <c r="AV334" i="4"/>
  <c r="AV335" i="4"/>
  <c r="AV336" i="4"/>
  <c r="AV337" i="4"/>
  <c r="AV338" i="4"/>
  <c r="AV339" i="4"/>
  <c r="AV340" i="4"/>
  <c r="AV341" i="4"/>
  <c r="AV342" i="4"/>
  <c r="AV343" i="4"/>
  <c r="AV344" i="4"/>
  <c r="AV345" i="4"/>
  <c r="AV346" i="4"/>
  <c r="AV347" i="4"/>
  <c r="AV348" i="4"/>
  <c r="AV349" i="4"/>
  <c r="AV350" i="4"/>
  <c r="AV351" i="4"/>
  <c r="AV352" i="4"/>
  <c r="AV353" i="4"/>
  <c r="AV354" i="4"/>
  <c r="AV355" i="4"/>
  <c r="AV356" i="4"/>
  <c r="AV357" i="4"/>
  <c r="AV358" i="4"/>
  <c r="AV359" i="4"/>
  <c r="AV360" i="4"/>
  <c r="AV361" i="4"/>
  <c r="AV362" i="4"/>
  <c r="AV363" i="4"/>
  <c r="AV364" i="4"/>
  <c r="AV365" i="4"/>
  <c r="AV366" i="4"/>
  <c r="AV367" i="4"/>
  <c r="AV368" i="4"/>
  <c r="AV369" i="4"/>
  <c r="AV370" i="4"/>
  <c r="AV371" i="4"/>
  <c r="AV372" i="4"/>
  <c r="AV373" i="4"/>
  <c r="AV374" i="4"/>
  <c r="AV375" i="4"/>
  <c r="AV376" i="4"/>
  <c r="AV377" i="4"/>
  <c r="AV378" i="4"/>
  <c r="AV379" i="4"/>
  <c r="AV380" i="4"/>
  <c r="AV381" i="4"/>
  <c r="AV382" i="4"/>
  <c r="AV383" i="4"/>
  <c r="AV384" i="4"/>
  <c r="AV385" i="4"/>
  <c r="AV386" i="4"/>
  <c r="AV387" i="4"/>
  <c r="AV388" i="4"/>
  <c r="AV389" i="4"/>
  <c r="AV390" i="4"/>
  <c r="AV391" i="4"/>
  <c r="AV392" i="4"/>
  <c r="AV393" i="4"/>
  <c r="AV394" i="4"/>
  <c r="AV395" i="4"/>
  <c r="AV396" i="4"/>
  <c r="AV397" i="4"/>
  <c r="AV398" i="4"/>
  <c r="AV399" i="4"/>
  <c r="AV400" i="4"/>
  <c r="AV401" i="4"/>
  <c r="AV402" i="4"/>
  <c r="AV403" i="4"/>
  <c r="AV404" i="4"/>
  <c r="AV405" i="4"/>
  <c r="AV406" i="4"/>
  <c r="AV407" i="4"/>
  <c r="AV408" i="4"/>
  <c r="AV409" i="4"/>
  <c r="AV410" i="4"/>
  <c r="AV411" i="4"/>
  <c r="AV412" i="4"/>
  <c r="AV413" i="4"/>
  <c r="AV414" i="4"/>
  <c r="AV415" i="4"/>
  <c r="AV416" i="4"/>
  <c r="AV417" i="4"/>
  <c r="AV418" i="4"/>
  <c r="AU293" i="4"/>
  <c r="AU294" i="4"/>
  <c r="AU295" i="4"/>
  <c r="AU296" i="4"/>
  <c r="AU297" i="4"/>
  <c r="AU298" i="4"/>
  <c r="AU299" i="4"/>
  <c r="AU300" i="4"/>
  <c r="AU301" i="4"/>
  <c r="AU302" i="4"/>
  <c r="AU303" i="4"/>
  <c r="AU304" i="4"/>
  <c r="AU305" i="4"/>
  <c r="AU306" i="4"/>
  <c r="AU307" i="4"/>
  <c r="AU308" i="4"/>
  <c r="AU309" i="4"/>
  <c r="AU310" i="4"/>
  <c r="AU311" i="4"/>
  <c r="AU312" i="4"/>
  <c r="AU313" i="4"/>
  <c r="AU314" i="4"/>
  <c r="AU315" i="4"/>
  <c r="AU316" i="4"/>
  <c r="AU317" i="4"/>
  <c r="AU318" i="4"/>
  <c r="AU319" i="4"/>
  <c r="AU320" i="4"/>
  <c r="AU321" i="4"/>
  <c r="AU322" i="4"/>
  <c r="AU323" i="4"/>
  <c r="AU324" i="4"/>
  <c r="AU325" i="4"/>
  <c r="AU326" i="4"/>
  <c r="AU327" i="4"/>
  <c r="AU328" i="4"/>
  <c r="AU329" i="4"/>
  <c r="AU330" i="4"/>
  <c r="AU331" i="4"/>
  <c r="AU332" i="4"/>
  <c r="AU333" i="4"/>
  <c r="AU334" i="4"/>
  <c r="AU335" i="4"/>
  <c r="AU336" i="4"/>
  <c r="AU337" i="4"/>
  <c r="AU338" i="4"/>
  <c r="AU339" i="4"/>
  <c r="AU340" i="4"/>
  <c r="AU341" i="4"/>
  <c r="AU342" i="4"/>
  <c r="AU343" i="4"/>
  <c r="AU344" i="4"/>
  <c r="AU345" i="4"/>
  <c r="AU346" i="4"/>
  <c r="AU347" i="4"/>
  <c r="AU348" i="4"/>
  <c r="AU349" i="4"/>
  <c r="AU350" i="4"/>
  <c r="AU351" i="4"/>
  <c r="AU352" i="4"/>
  <c r="AU353" i="4"/>
  <c r="AU354" i="4"/>
  <c r="AU355" i="4"/>
  <c r="AU356" i="4"/>
  <c r="AU357" i="4"/>
  <c r="AU358" i="4"/>
  <c r="AU359" i="4"/>
  <c r="AU360" i="4"/>
  <c r="AU361" i="4"/>
  <c r="AU362" i="4"/>
  <c r="AU363" i="4"/>
  <c r="AU364" i="4"/>
  <c r="AU365" i="4"/>
  <c r="AU366" i="4"/>
  <c r="AU367" i="4"/>
  <c r="AU368" i="4"/>
  <c r="AU369" i="4"/>
  <c r="AU370" i="4"/>
  <c r="AU371" i="4"/>
  <c r="AU372" i="4"/>
  <c r="AU373" i="4"/>
  <c r="AU374" i="4"/>
  <c r="AU375" i="4"/>
  <c r="AU376" i="4"/>
  <c r="AU377" i="4"/>
  <c r="AU378" i="4"/>
  <c r="AU379" i="4"/>
  <c r="AU380" i="4"/>
  <c r="AU381" i="4"/>
  <c r="AU382" i="4"/>
  <c r="AU383" i="4"/>
  <c r="AU384" i="4"/>
  <c r="AU385" i="4"/>
  <c r="AU386" i="4"/>
  <c r="AU387" i="4"/>
  <c r="AU388" i="4"/>
  <c r="AU389" i="4"/>
  <c r="AU390" i="4"/>
  <c r="AU391" i="4"/>
  <c r="AU392" i="4"/>
  <c r="AU393" i="4"/>
  <c r="AU394" i="4"/>
  <c r="AU395" i="4"/>
  <c r="AU396" i="4"/>
  <c r="AU397" i="4"/>
  <c r="AU398" i="4"/>
  <c r="AU399" i="4"/>
  <c r="AU400" i="4"/>
  <c r="AU401" i="4"/>
  <c r="AU402" i="4"/>
  <c r="AU403" i="4"/>
  <c r="AU404" i="4"/>
  <c r="AU405" i="4"/>
  <c r="AU406" i="4"/>
  <c r="AU407" i="4"/>
  <c r="AU408" i="4"/>
  <c r="AU409" i="4"/>
  <c r="AU410" i="4"/>
  <c r="AU411" i="4"/>
  <c r="AU412" i="4"/>
  <c r="AU413" i="4"/>
  <c r="AU414" i="4"/>
  <c r="AU415" i="4"/>
  <c r="AU416" i="4"/>
  <c r="AU417" i="4"/>
  <c r="AU418" i="4"/>
  <c r="AT293" i="4"/>
  <c r="AT294" i="4"/>
  <c r="AT295" i="4"/>
  <c r="AT296" i="4"/>
  <c r="AT297" i="4"/>
  <c r="AT298" i="4"/>
  <c r="AT299" i="4"/>
  <c r="AT300" i="4"/>
  <c r="AT301" i="4"/>
  <c r="AT302" i="4"/>
  <c r="AT303" i="4"/>
  <c r="AT304" i="4"/>
  <c r="AT305" i="4"/>
  <c r="AT306" i="4"/>
  <c r="AT307" i="4"/>
  <c r="AT308" i="4"/>
  <c r="AT309" i="4"/>
  <c r="AT310" i="4"/>
  <c r="AT311" i="4"/>
  <c r="AT312" i="4"/>
  <c r="AT313" i="4"/>
  <c r="AT314" i="4"/>
  <c r="AT315" i="4"/>
  <c r="AT316" i="4"/>
  <c r="AT317" i="4"/>
  <c r="AT318" i="4"/>
  <c r="AT319" i="4"/>
  <c r="AT320" i="4"/>
  <c r="AT321" i="4"/>
  <c r="AT322" i="4"/>
  <c r="AT323" i="4"/>
  <c r="AT324" i="4"/>
  <c r="AT325" i="4"/>
  <c r="AT326" i="4"/>
  <c r="AT327" i="4"/>
  <c r="AT328" i="4"/>
  <c r="AT329" i="4"/>
  <c r="AT330" i="4"/>
  <c r="AT331" i="4"/>
  <c r="AT332" i="4"/>
  <c r="AT333" i="4"/>
  <c r="AT334" i="4"/>
  <c r="AT335" i="4"/>
  <c r="AT336" i="4"/>
  <c r="AT337" i="4"/>
  <c r="AT338" i="4"/>
  <c r="AT339" i="4"/>
  <c r="AT340" i="4"/>
  <c r="AT341" i="4"/>
  <c r="AT342" i="4"/>
  <c r="AT343" i="4"/>
  <c r="AT344" i="4"/>
  <c r="AT345" i="4"/>
  <c r="AT346" i="4"/>
  <c r="AT347" i="4"/>
  <c r="AT348" i="4"/>
  <c r="AT349" i="4"/>
  <c r="AT350" i="4"/>
  <c r="AT351" i="4"/>
  <c r="AT352" i="4"/>
  <c r="AT353" i="4"/>
  <c r="AT354" i="4"/>
  <c r="AT355" i="4"/>
  <c r="AT356" i="4"/>
  <c r="AT357" i="4"/>
  <c r="AT358" i="4"/>
  <c r="AT359" i="4"/>
  <c r="AT360" i="4"/>
  <c r="AT361" i="4"/>
  <c r="AT362" i="4"/>
  <c r="AT363" i="4"/>
  <c r="AT364" i="4"/>
  <c r="AT365" i="4"/>
  <c r="AT366" i="4"/>
  <c r="AT367" i="4"/>
  <c r="AT368" i="4"/>
  <c r="AT369" i="4"/>
  <c r="AT370" i="4"/>
  <c r="AT371" i="4"/>
  <c r="AT372" i="4"/>
  <c r="AT373" i="4"/>
  <c r="AT374" i="4"/>
  <c r="AT375" i="4"/>
  <c r="AT376" i="4"/>
  <c r="AT377" i="4"/>
  <c r="AT378" i="4"/>
  <c r="AT379" i="4"/>
  <c r="AT380" i="4"/>
  <c r="AT381" i="4"/>
  <c r="AT382" i="4"/>
  <c r="AT383" i="4"/>
  <c r="AT384" i="4"/>
  <c r="AT385" i="4"/>
  <c r="AT386" i="4"/>
  <c r="AT387" i="4"/>
  <c r="AT388" i="4"/>
  <c r="AT389" i="4"/>
  <c r="AT390" i="4"/>
  <c r="AT391" i="4"/>
  <c r="AT392" i="4"/>
  <c r="AT393" i="4"/>
  <c r="AT394" i="4"/>
  <c r="AT395" i="4"/>
  <c r="AT396" i="4"/>
  <c r="AT397" i="4"/>
  <c r="AT398" i="4"/>
  <c r="AT399" i="4"/>
  <c r="AT400" i="4"/>
  <c r="AT401" i="4"/>
  <c r="AT402" i="4"/>
  <c r="AT403" i="4"/>
  <c r="AT404" i="4"/>
  <c r="AT405" i="4"/>
  <c r="AT406" i="4"/>
  <c r="AT407" i="4"/>
  <c r="AT408" i="4"/>
  <c r="AT409" i="4"/>
  <c r="AT410" i="4"/>
  <c r="AT411" i="4"/>
  <c r="AT412" i="4"/>
  <c r="AT413" i="4"/>
  <c r="AT414" i="4"/>
  <c r="AT415" i="4"/>
  <c r="AT416" i="4"/>
  <c r="AT417" i="4"/>
  <c r="AT418" i="4"/>
  <c r="AS293" i="4"/>
  <c r="AS294" i="4"/>
  <c r="AS295" i="4"/>
  <c r="AS296" i="4"/>
  <c r="AS297" i="4"/>
  <c r="AS298" i="4"/>
  <c r="AS299" i="4"/>
  <c r="AS300" i="4"/>
  <c r="AS301" i="4"/>
  <c r="AS302" i="4"/>
  <c r="AS303" i="4"/>
  <c r="AS304" i="4"/>
  <c r="AS305" i="4"/>
  <c r="AS306" i="4"/>
  <c r="AS307" i="4"/>
  <c r="AS308" i="4"/>
  <c r="AS309" i="4"/>
  <c r="AS310" i="4"/>
  <c r="AS311" i="4"/>
  <c r="AS312" i="4"/>
  <c r="AS313" i="4"/>
  <c r="AS314" i="4"/>
  <c r="AS315" i="4"/>
  <c r="AS316" i="4"/>
  <c r="AS317" i="4"/>
  <c r="AS318" i="4"/>
  <c r="AS319" i="4"/>
  <c r="AS320" i="4"/>
  <c r="AS321" i="4"/>
  <c r="AS322" i="4"/>
  <c r="AS323" i="4"/>
  <c r="AS324" i="4"/>
  <c r="AS325" i="4"/>
  <c r="AS326" i="4"/>
  <c r="AS327" i="4"/>
  <c r="AS328" i="4"/>
  <c r="AS329" i="4"/>
  <c r="AS330" i="4"/>
  <c r="AS331" i="4"/>
  <c r="AS332" i="4"/>
  <c r="AS333" i="4"/>
  <c r="AS334" i="4"/>
  <c r="AS335" i="4"/>
  <c r="AS336" i="4"/>
  <c r="AS337" i="4"/>
  <c r="AS338" i="4"/>
  <c r="AS339" i="4"/>
  <c r="AS340" i="4"/>
  <c r="AS341" i="4"/>
  <c r="AS342" i="4"/>
  <c r="AS343" i="4"/>
  <c r="AS344" i="4"/>
  <c r="AS345" i="4"/>
  <c r="AS346" i="4"/>
  <c r="AS347" i="4"/>
  <c r="AS348" i="4"/>
  <c r="AS349" i="4"/>
  <c r="AS350" i="4"/>
  <c r="AS351" i="4"/>
  <c r="AS352" i="4"/>
  <c r="AS353" i="4"/>
  <c r="AS354" i="4"/>
  <c r="AS355" i="4"/>
  <c r="AS356" i="4"/>
  <c r="AS357" i="4"/>
  <c r="AS358" i="4"/>
  <c r="AS359" i="4"/>
  <c r="AS360" i="4"/>
  <c r="AS361" i="4"/>
  <c r="AS362" i="4"/>
  <c r="AS363" i="4"/>
  <c r="AS364" i="4"/>
  <c r="AS365" i="4"/>
  <c r="AS366" i="4"/>
  <c r="AS367" i="4"/>
  <c r="AS368" i="4"/>
  <c r="AS369" i="4"/>
  <c r="AS370" i="4"/>
  <c r="AS371" i="4"/>
  <c r="AS372" i="4"/>
  <c r="AS373" i="4"/>
  <c r="AS374" i="4"/>
  <c r="AS375" i="4"/>
  <c r="AS376" i="4"/>
  <c r="AS377" i="4"/>
  <c r="AS378" i="4"/>
  <c r="AS379" i="4"/>
  <c r="AS380" i="4"/>
  <c r="AS381" i="4"/>
  <c r="AS382" i="4"/>
  <c r="AS383" i="4"/>
  <c r="AS384" i="4"/>
  <c r="AS385" i="4"/>
  <c r="AS386" i="4"/>
  <c r="AS387" i="4"/>
  <c r="AS388" i="4"/>
  <c r="AS389" i="4"/>
  <c r="AS390" i="4"/>
  <c r="AS391" i="4"/>
  <c r="AS392" i="4"/>
  <c r="AS393" i="4"/>
  <c r="AS394" i="4"/>
  <c r="AS395" i="4"/>
  <c r="AS396" i="4"/>
  <c r="AS397" i="4"/>
  <c r="AS398" i="4"/>
  <c r="AS399" i="4"/>
  <c r="AS400" i="4"/>
  <c r="AS401" i="4"/>
  <c r="AS402" i="4"/>
  <c r="AS403" i="4"/>
  <c r="AS404" i="4"/>
  <c r="AS405" i="4"/>
  <c r="AS406" i="4"/>
  <c r="AS407" i="4"/>
  <c r="AS408" i="4"/>
  <c r="AS409" i="4"/>
  <c r="AS410" i="4"/>
  <c r="AS411" i="4"/>
  <c r="AS412" i="4"/>
  <c r="AS413" i="4"/>
  <c r="AS414" i="4"/>
  <c r="AS415" i="4"/>
  <c r="AS416" i="4"/>
  <c r="AS417" i="4"/>
  <c r="AS418" i="4"/>
  <c r="AR293" i="4"/>
  <c r="AR294" i="4"/>
  <c r="AR295" i="4"/>
  <c r="AR296" i="4"/>
  <c r="AR297" i="4"/>
  <c r="AR298" i="4"/>
  <c r="AR299" i="4"/>
  <c r="AR300" i="4"/>
  <c r="AR301" i="4"/>
  <c r="AR302" i="4"/>
  <c r="AR303" i="4"/>
  <c r="AR304" i="4"/>
  <c r="AR305" i="4"/>
  <c r="AR306" i="4"/>
  <c r="AR307" i="4"/>
  <c r="AR308" i="4"/>
  <c r="AR309" i="4"/>
  <c r="AR310" i="4"/>
  <c r="AR311" i="4"/>
  <c r="AR312" i="4"/>
  <c r="AR313" i="4"/>
  <c r="AR314" i="4"/>
  <c r="AR315" i="4"/>
  <c r="AR316" i="4"/>
  <c r="AR317" i="4"/>
  <c r="AR318" i="4"/>
  <c r="AR319" i="4"/>
  <c r="AR320" i="4"/>
  <c r="AR321" i="4"/>
  <c r="AR322" i="4"/>
  <c r="AR323" i="4"/>
  <c r="AR324" i="4"/>
  <c r="AR325" i="4"/>
  <c r="AR326" i="4"/>
  <c r="AR327" i="4"/>
  <c r="AR328" i="4"/>
  <c r="AR329" i="4"/>
  <c r="AR330" i="4"/>
  <c r="AR331" i="4"/>
  <c r="AR332" i="4"/>
  <c r="AR333" i="4"/>
  <c r="AR334" i="4"/>
  <c r="AR335" i="4"/>
  <c r="AR336" i="4"/>
  <c r="AR337" i="4"/>
  <c r="AR338" i="4"/>
  <c r="AR339" i="4"/>
  <c r="AR340" i="4"/>
  <c r="AR341" i="4"/>
  <c r="AR342" i="4"/>
  <c r="AR343" i="4"/>
  <c r="AR344" i="4"/>
  <c r="AR345" i="4"/>
  <c r="AR346" i="4"/>
  <c r="AR347" i="4"/>
  <c r="AR348" i="4"/>
  <c r="AR349" i="4"/>
  <c r="AR350" i="4"/>
  <c r="AR351" i="4"/>
  <c r="AR352" i="4"/>
  <c r="AR353" i="4"/>
  <c r="AR354" i="4"/>
  <c r="AR355" i="4"/>
  <c r="AR356" i="4"/>
  <c r="AR357" i="4"/>
  <c r="AR358" i="4"/>
  <c r="AR359" i="4"/>
  <c r="AR360" i="4"/>
  <c r="AR361" i="4"/>
  <c r="AR362" i="4"/>
  <c r="AR363" i="4"/>
  <c r="AR364" i="4"/>
  <c r="AR365" i="4"/>
  <c r="AR366" i="4"/>
  <c r="AR367" i="4"/>
  <c r="AR368" i="4"/>
  <c r="AR369" i="4"/>
  <c r="AR370" i="4"/>
  <c r="AR371" i="4"/>
  <c r="AR372" i="4"/>
  <c r="AR373" i="4"/>
  <c r="AR374" i="4"/>
  <c r="AR375" i="4"/>
  <c r="AR376" i="4"/>
  <c r="AR377" i="4"/>
  <c r="AR378" i="4"/>
  <c r="AR379" i="4"/>
  <c r="AR380" i="4"/>
  <c r="AR381" i="4"/>
  <c r="AR382" i="4"/>
  <c r="AR383" i="4"/>
  <c r="AR384" i="4"/>
  <c r="AR385" i="4"/>
  <c r="AR386" i="4"/>
  <c r="AR387" i="4"/>
  <c r="AR388" i="4"/>
  <c r="AR389" i="4"/>
  <c r="AR390" i="4"/>
  <c r="AR391" i="4"/>
  <c r="AR392" i="4"/>
  <c r="AR393" i="4"/>
  <c r="AR394" i="4"/>
  <c r="AR395" i="4"/>
  <c r="AR396" i="4"/>
  <c r="AR397" i="4"/>
  <c r="AR398" i="4"/>
  <c r="AR399" i="4"/>
  <c r="AR400" i="4"/>
  <c r="AR401" i="4"/>
  <c r="AR402" i="4"/>
  <c r="AR403" i="4"/>
  <c r="AR404" i="4"/>
  <c r="AR405" i="4"/>
  <c r="AR406" i="4"/>
  <c r="AR407" i="4"/>
  <c r="AR408" i="4"/>
  <c r="AR409" i="4"/>
  <c r="AR410" i="4"/>
  <c r="AR411" i="4"/>
  <c r="AR412" i="4"/>
  <c r="AR413" i="4"/>
  <c r="AR414" i="4"/>
  <c r="AR415" i="4"/>
  <c r="AR416" i="4"/>
  <c r="AR417" i="4"/>
  <c r="AR418" i="4"/>
  <c r="AY292" i="4"/>
  <c r="AX292" i="4"/>
  <c r="AW292" i="4"/>
  <c r="AV292" i="4"/>
  <c r="AU292" i="4"/>
  <c r="AT292" i="4"/>
  <c r="AS292" i="4"/>
  <c r="AR292" i="4"/>
  <c r="AR151" i="4"/>
  <c r="AY152" i="4"/>
  <c r="AY153" i="4"/>
  <c r="AY154" i="4"/>
  <c r="AY155" i="4"/>
  <c r="AY156" i="4"/>
  <c r="AY157" i="4"/>
  <c r="AY158" i="4"/>
  <c r="AY159" i="4"/>
  <c r="AY160" i="4"/>
  <c r="AY161" i="4"/>
  <c r="AY162" i="4"/>
  <c r="AY163" i="4"/>
  <c r="AY164" i="4"/>
  <c r="AY165" i="4"/>
  <c r="AY166" i="4"/>
  <c r="AY167" i="4"/>
  <c r="AY168" i="4"/>
  <c r="AY169" i="4"/>
  <c r="AY170" i="4"/>
  <c r="AY171" i="4"/>
  <c r="AY172" i="4"/>
  <c r="AY173" i="4"/>
  <c r="AY174" i="4"/>
  <c r="AY175" i="4"/>
  <c r="AY176" i="4"/>
  <c r="AY177" i="4"/>
  <c r="AY178" i="4"/>
  <c r="AY179" i="4"/>
  <c r="AY180" i="4"/>
  <c r="AY181" i="4"/>
  <c r="AY182" i="4"/>
  <c r="AY183" i="4"/>
  <c r="AY184" i="4"/>
  <c r="AY185" i="4"/>
  <c r="AY186" i="4"/>
  <c r="AY187" i="4"/>
  <c r="AY188" i="4"/>
  <c r="AY189" i="4"/>
  <c r="AY190" i="4"/>
  <c r="AY191" i="4"/>
  <c r="AY192" i="4"/>
  <c r="AY193" i="4"/>
  <c r="AY194" i="4"/>
  <c r="AY195" i="4"/>
  <c r="AY196" i="4"/>
  <c r="AY197" i="4"/>
  <c r="AY198" i="4"/>
  <c r="AY199" i="4"/>
  <c r="AY200" i="4"/>
  <c r="AY201" i="4"/>
  <c r="AY202" i="4"/>
  <c r="AY203" i="4"/>
  <c r="AY204" i="4"/>
  <c r="AY205" i="4"/>
  <c r="AY206" i="4"/>
  <c r="AY207" i="4"/>
  <c r="AY208" i="4"/>
  <c r="AY209" i="4"/>
  <c r="AY210" i="4"/>
  <c r="AY211" i="4"/>
  <c r="AY212" i="4"/>
  <c r="AY213" i="4"/>
  <c r="AY214" i="4"/>
  <c r="AY215" i="4"/>
  <c r="AY216" i="4"/>
  <c r="AY217" i="4"/>
  <c r="AY218" i="4"/>
  <c r="AY219" i="4"/>
  <c r="AY220" i="4"/>
  <c r="AY221" i="4"/>
  <c r="AY222" i="4"/>
  <c r="AY223" i="4"/>
  <c r="AY224" i="4"/>
  <c r="AY225" i="4"/>
  <c r="AY226" i="4"/>
  <c r="AY227" i="4"/>
  <c r="AY228" i="4"/>
  <c r="AY229" i="4"/>
  <c r="AY230" i="4"/>
  <c r="AY231" i="4"/>
  <c r="AY232" i="4"/>
  <c r="AY233" i="4"/>
  <c r="AY234" i="4"/>
  <c r="AY235" i="4"/>
  <c r="AY236" i="4"/>
  <c r="AY237" i="4"/>
  <c r="AY238" i="4"/>
  <c r="AY239" i="4"/>
  <c r="AY240" i="4"/>
  <c r="AY241" i="4"/>
  <c r="AY242" i="4"/>
  <c r="AY243" i="4"/>
  <c r="AY244" i="4"/>
  <c r="AY245" i="4"/>
  <c r="AY246" i="4"/>
  <c r="AY247" i="4"/>
  <c r="AY248" i="4"/>
  <c r="AY249" i="4"/>
  <c r="AY250" i="4"/>
  <c r="AY251" i="4"/>
  <c r="AY252" i="4"/>
  <c r="AY253" i="4"/>
  <c r="AY254" i="4"/>
  <c r="AY255" i="4"/>
  <c r="AY256" i="4"/>
  <c r="AY257" i="4"/>
  <c r="AY258" i="4"/>
  <c r="AY259" i="4"/>
  <c r="AY260" i="4"/>
  <c r="AY261" i="4"/>
  <c r="AY262" i="4"/>
  <c r="AY263" i="4"/>
  <c r="AY264" i="4"/>
  <c r="AY265" i="4"/>
  <c r="AY266" i="4"/>
  <c r="AY267" i="4"/>
  <c r="AY268" i="4"/>
  <c r="AY269" i="4"/>
  <c r="AY270" i="4"/>
  <c r="AY271" i="4"/>
  <c r="AY272" i="4"/>
  <c r="AY273" i="4"/>
  <c r="AY274" i="4"/>
  <c r="AY275" i="4"/>
  <c r="AY276" i="4"/>
  <c r="AY277" i="4"/>
  <c r="AX152" i="4"/>
  <c r="AX153" i="4"/>
  <c r="AX154" i="4"/>
  <c r="AX155" i="4"/>
  <c r="AX156" i="4"/>
  <c r="AX157" i="4"/>
  <c r="AX158" i="4"/>
  <c r="AX159" i="4"/>
  <c r="AX160" i="4"/>
  <c r="AX161" i="4"/>
  <c r="AX162" i="4"/>
  <c r="AX163" i="4"/>
  <c r="AX164" i="4"/>
  <c r="AX165" i="4"/>
  <c r="AX166" i="4"/>
  <c r="AX167" i="4"/>
  <c r="AX168" i="4"/>
  <c r="AX169" i="4"/>
  <c r="AX170" i="4"/>
  <c r="AX171" i="4"/>
  <c r="AX172" i="4"/>
  <c r="AX173" i="4"/>
  <c r="AX174" i="4"/>
  <c r="AX175" i="4"/>
  <c r="AX176" i="4"/>
  <c r="AX177" i="4"/>
  <c r="AX178" i="4"/>
  <c r="AX179" i="4"/>
  <c r="AX180" i="4"/>
  <c r="AX181" i="4"/>
  <c r="AX182" i="4"/>
  <c r="AX183" i="4"/>
  <c r="AX184" i="4"/>
  <c r="AX185" i="4"/>
  <c r="AX186" i="4"/>
  <c r="AX187" i="4"/>
  <c r="AX188" i="4"/>
  <c r="AX189" i="4"/>
  <c r="AX190" i="4"/>
  <c r="AX191" i="4"/>
  <c r="AX192" i="4"/>
  <c r="AX193" i="4"/>
  <c r="AX194" i="4"/>
  <c r="AX195" i="4"/>
  <c r="AX196" i="4"/>
  <c r="AX197" i="4"/>
  <c r="AX198" i="4"/>
  <c r="AX199" i="4"/>
  <c r="AX200" i="4"/>
  <c r="AX201" i="4"/>
  <c r="AX202" i="4"/>
  <c r="AX203" i="4"/>
  <c r="AX204" i="4"/>
  <c r="AX205" i="4"/>
  <c r="AX206" i="4"/>
  <c r="AX207" i="4"/>
  <c r="AX208" i="4"/>
  <c r="AX209" i="4"/>
  <c r="AX210" i="4"/>
  <c r="AX211" i="4"/>
  <c r="AX212" i="4"/>
  <c r="AX213" i="4"/>
  <c r="AX214" i="4"/>
  <c r="AX215" i="4"/>
  <c r="AX216" i="4"/>
  <c r="AX217" i="4"/>
  <c r="AX218" i="4"/>
  <c r="AX219" i="4"/>
  <c r="AX220" i="4"/>
  <c r="AX221" i="4"/>
  <c r="AX222" i="4"/>
  <c r="AX223" i="4"/>
  <c r="AX224" i="4"/>
  <c r="AX225" i="4"/>
  <c r="AX226" i="4"/>
  <c r="AX227" i="4"/>
  <c r="AX228" i="4"/>
  <c r="AX229" i="4"/>
  <c r="AX230" i="4"/>
  <c r="AX231" i="4"/>
  <c r="AX232" i="4"/>
  <c r="AX233" i="4"/>
  <c r="AX234" i="4"/>
  <c r="AX235" i="4"/>
  <c r="AX236" i="4"/>
  <c r="AX237" i="4"/>
  <c r="AX238" i="4"/>
  <c r="AX239" i="4"/>
  <c r="AX240" i="4"/>
  <c r="AX241" i="4"/>
  <c r="AX242" i="4"/>
  <c r="AX243" i="4"/>
  <c r="AX244" i="4"/>
  <c r="AX245" i="4"/>
  <c r="AX246" i="4"/>
  <c r="AX247" i="4"/>
  <c r="AX248" i="4"/>
  <c r="AX249" i="4"/>
  <c r="AX250" i="4"/>
  <c r="AX251" i="4"/>
  <c r="AX252" i="4"/>
  <c r="AX253" i="4"/>
  <c r="AX254" i="4"/>
  <c r="AX255" i="4"/>
  <c r="AX256" i="4"/>
  <c r="AX257" i="4"/>
  <c r="AX258" i="4"/>
  <c r="AX259" i="4"/>
  <c r="AX260" i="4"/>
  <c r="AX261" i="4"/>
  <c r="AX262" i="4"/>
  <c r="AX263" i="4"/>
  <c r="AX264" i="4"/>
  <c r="AX265" i="4"/>
  <c r="AX266" i="4"/>
  <c r="AX267" i="4"/>
  <c r="AX268" i="4"/>
  <c r="AX269" i="4"/>
  <c r="AX270" i="4"/>
  <c r="AX271" i="4"/>
  <c r="AX272" i="4"/>
  <c r="AX273" i="4"/>
  <c r="AX274" i="4"/>
  <c r="AX275" i="4"/>
  <c r="AX276" i="4"/>
  <c r="AX277" i="4"/>
  <c r="AW152" i="4"/>
  <c r="AW153" i="4"/>
  <c r="AW154" i="4"/>
  <c r="AW155" i="4"/>
  <c r="AW156" i="4"/>
  <c r="AW157" i="4"/>
  <c r="AW158" i="4"/>
  <c r="AW159" i="4"/>
  <c r="AW160" i="4"/>
  <c r="AW161" i="4"/>
  <c r="AW162" i="4"/>
  <c r="AW163" i="4"/>
  <c r="AW164" i="4"/>
  <c r="AW165" i="4"/>
  <c r="AW166" i="4"/>
  <c r="AW167" i="4"/>
  <c r="AW168" i="4"/>
  <c r="AW169" i="4"/>
  <c r="AW170" i="4"/>
  <c r="AW171" i="4"/>
  <c r="AW172" i="4"/>
  <c r="AW173" i="4"/>
  <c r="AW174" i="4"/>
  <c r="AW175" i="4"/>
  <c r="AW176" i="4"/>
  <c r="AW177" i="4"/>
  <c r="AW178" i="4"/>
  <c r="AW179" i="4"/>
  <c r="AW180" i="4"/>
  <c r="AW181" i="4"/>
  <c r="AW182" i="4"/>
  <c r="AW183" i="4"/>
  <c r="AW184" i="4"/>
  <c r="AW185" i="4"/>
  <c r="AW186" i="4"/>
  <c r="AW187" i="4"/>
  <c r="AW188" i="4"/>
  <c r="AW189" i="4"/>
  <c r="AW190" i="4"/>
  <c r="AW191" i="4"/>
  <c r="AW192" i="4"/>
  <c r="AW193" i="4"/>
  <c r="AW194" i="4"/>
  <c r="AW195" i="4"/>
  <c r="AW196" i="4"/>
  <c r="AW197" i="4"/>
  <c r="AW198" i="4"/>
  <c r="AW199" i="4"/>
  <c r="AW200" i="4"/>
  <c r="AW201" i="4"/>
  <c r="AW202" i="4"/>
  <c r="AW203" i="4"/>
  <c r="AW204" i="4"/>
  <c r="AW205" i="4"/>
  <c r="AW206" i="4"/>
  <c r="AW207" i="4"/>
  <c r="AW208" i="4"/>
  <c r="AW209" i="4"/>
  <c r="AW210" i="4"/>
  <c r="AW211" i="4"/>
  <c r="AW212" i="4"/>
  <c r="AW213" i="4"/>
  <c r="AW214" i="4"/>
  <c r="AW215" i="4"/>
  <c r="AW216" i="4"/>
  <c r="AW217" i="4"/>
  <c r="AW218" i="4"/>
  <c r="AW219" i="4"/>
  <c r="AW220" i="4"/>
  <c r="AW221" i="4"/>
  <c r="AW222" i="4"/>
  <c r="AW223" i="4"/>
  <c r="AW224" i="4"/>
  <c r="AW225" i="4"/>
  <c r="AW226" i="4"/>
  <c r="AW227" i="4"/>
  <c r="AW228" i="4"/>
  <c r="AW229" i="4"/>
  <c r="AW230" i="4"/>
  <c r="AW231" i="4"/>
  <c r="AW232" i="4"/>
  <c r="AW233" i="4"/>
  <c r="AW234" i="4"/>
  <c r="AW235" i="4"/>
  <c r="AW236" i="4"/>
  <c r="AW237" i="4"/>
  <c r="AW238" i="4"/>
  <c r="AW239" i="4"/>
  <c r="AW240" i="4"/>
  <c r="AW241" i="4"/>
  <c r="AW242" i="4"/>
  <c r="AW243" i="4"/>
  <c r="AW244" i="4"/>
  <c r="AW245" i="4"/>
  <c r="AW246" i="4"/>
  <c r="AW247" i="4"/>
  <c r="AW248" i="4"/>
  <c r="AW249" i="4"/>
  <c r="AW250" i="4"/>
  <c r="AW251" i="4"/>
  <c r="AW252" i="4"/>
  <c r="AW253" i="4"/>
  <c r="AW254" i="4"/>
  <c r="AW255" i="4"/>
  <c r="AW256" i="4"/>
  <c r="AW257" i="4"/>
  <c r="AW258" i="4"/>
  <c r="AW259" i="4"/>
  <c r="AW260" i="4"/>
  <c r="AW261" i="4"/>
  <c r="AW262" i="4"/>
  <c r="AW263" i="4"/>
  <c r="AW264" i="4"/>
  <c r="AW265" i="4"/>
  <c r="AW266" i="4"/>
  <c r="AW267" i="4"/>
  <c r="AW268" i="4"/>
  <c r="AW269" i="4"/>
  <c r="AW270" i="4"/>
  <c r="AW271" i="4"/>
  <c r="AW272" i="4"/>
  <c r="AW273" i="4"/>
  <c r="AW274" i="4"/>
  <c r="AW275" i="4"/>
  <c r="AW276" i="4"/>
  <c r="AW277" i="4"/>
  <c r="AV152" i="4"/>
  <c r="AV153" i="4"/>
  <c r="AV154" i="4"/>
  <c r="AV155" i="4"/>
  <c r="AV156" i="4"/>
  <c r="AV157" i="4"/>
  <c r="AV158" i="4"/>
  <c r="AV159" i="4"/>
  <c r="AV160" i="4"/>
  <c r="AV161" i="4"/>
  <c r="AV162" i="4"/>
  <c r="AV163" i="4"/>
  <c r="AV164" i="4"/>
  <c r="AV165" i="4"/>
  <c r="AV166" i="4"/>
  <c r="AV167" i="4"/>
  <c r="AV168" i="4"/>
  <c r="AV169" i="4"/>
  <c r="AV170" i="4"/>
  <c r="AV171" i="4"/>
  <c r="AV172" i="4"/>
  <c r="AV173" i="4"/>
  <c r="AV174" i="4"/>
  <c r="AV175" i="4"/>
  <c r="AV176" i="4"/>
  <c r="AV177" i="4"/>
  <c r="AV178" i="4"/>
  <c r="AV179" i="4"/>
  <c r="AV180" i="4"/>
  <c r="AV181" i="4"/>
  <c r="AV182" i="4"/>
  <c r="AV183" i="4"/>
  <c r="AV184" i="4"/>
  <c r="AV185" i="4"/>
  <c r="AV186" i="4"/>
  <c r="AV187" i="4"/>
  <c r="AV188" i="4"/>
  <c r="AV189" i="4"/>
  <c r="AV190" i="4"/>
  <c r="AV191" i="4"/>
  <c r="AV192" i="4"/>
  <c r="AV193" i="4"/>
  <c r="AV194" i="4"/>
  <c r="AV195" i="4"/>
  <c r="AV196" i="4"/>
  <c r="AV197" i="4"/>
  <c r="AV198" i="4"/>
  <c r="AV199" i="4"/>
  <c r="AV200" i="4"/>
  <c r="AV201" i="4"/>
  <c r="AV202" i="4"/>
  <c r="AV203" i="4"/>
  <c r="AV204" i="4"/>
  <c r="AV205" i="4"/>
  <c r="AV206" i="4"/>
  <c r="AV207" i="4"/>
  <c r="AV208" i="4"/>
  <c r="AV209" i="4"/>
  <c r="AV210" i="4"/>
  <c r="AV211" i="4"/>
  <c r="AV212" i="4"/>
  <c r="AV213" i="4"/>
  <c r="AV214" i="4"/>
  <c r="AV215" i="4"/>
  <c r="AV216" i="4"/>
  <c r="AV217" i="4"/>
  <c r="AV218" i="4"/>
  <c r="AV219" i="4"/>
  <c r="AV220" i="4"/>
  <c r="AV221" i="4"/>
  <c r="AV222" i="4"/>
  <c r="AV223" i="4"/>
  <c r="AV224" i="4"/>
  <c r="AV225" i="4"/>
  <c r="AV226" i="4"/>
  <c r="AV227" i="4"/>
  <c r="AV228" i="4"/>
  <c r="AV229" i="4"/>
  <c r="AV230" i="4"/>
  <c r="AV231" i="4"/>
  <c r="AV232" i="4"/>
  <c r="AV233" i="4"/>
  <c r="AV234" i="4"/>
  <c r="AV235" i="4"/>
  <c r="AV236" i="4"/>
  <c r="AV237" i="4"/>
  <c r="AV238" i="4"/>
  <c r="AV239" i="4"/>
  <c r="AV240" i="4"/>
  <c r="AV241" i="4"/>
  <c r="AV242" i="4"/>
  <c r="AV243" i="4"/>
  <c r="AV244" i="4"/>
  <c r="AV245" i="4"/>
  <c r="AV246" i="4"/>
  <c r="AV247" i="4"/>
  <c r="AV248" i="4"/>
  <c r="AV249" i="4"/>
  <c r="AV250" i="4"/>
  <c r="AV251" i="4"/>
  <c r="AV252" i="4"/>
  <c r="AV253" i="4"/>
  <c r="AV254" i="4"/>
  <c r="AV255" i="4"/>
  <c r="AV256" i="4"/>
  <c r="AV257" i="4"/>
  <c r="AV258" i="4"/>
  <c r="AV259" i="4"/>
  <c r="AV260" i="4"/>
  <c r="AV261" i="4"/>
  <c r="AV262" i="4"/>
  <c r="AV263" i="4"/>
  <c r="AV264" i="4"/>
  <c r="AV265" i="4"/>
  <c r="AV266" i="4"/>
  <c r="AV267" i="4"/>
  <c r="AV268" i="4"/>
  <c r="AV269" i="4"/>
  <c r="AV270" i="4"/>
  <c r="AV271" i="4"/>
  <c r="AV272" i="4"/>
  <c r="AV273" i="4"/>
  <c r="AV274" i="4"/>
  <c r="AV275" i="4"/>
  <c r="AV276" i="4"/>
  <c r="AV277" i="4"/>
  <c r="AT152" i="4"/>
  <c r="AT153" i="4"/>
  <c r="AT154" i="4"/>
  <c r="AT155" i="4"/>
  <c r="AT156" i="4"/>
  <c r="AT157" i="4"/>
  <c r="AT158" i="4"/>
  <c r="AT159" i="4"/>
  <c r="AT160" i="4"/>
  <c r="AT161" i="4"/>
  <c r="AT162" i="4"/>
  <c r="AT163" i="4"/>
  <c r="AT164" i="4"/>
  <c r="AT165" i="4"/>
  <c r="AT166" i="4"/>
  <c r="AT167" i="4"/>
  <c r="AT168" i="4"/>
  <c r="AT169" i="4"/>
  <c r="AT170" i="4"/>
  <c r="AT171" i="4"/>
  <c r="AT172" i="4"/>
  <c r="AT173" i="4"/>
  <c r="AT174" i="4"/>
  <c r="AT175" i="4"/>
  <c r="AT176" i="4"/>
  <c r="AT177" i="4"/>
  <c r="AT178" i="4"/>
  <c r="AT179" i="4"/>
  <c r="AT180" i="4"/>
  <c r="AT181" i="4"/>
  <c r="AT182" i="4"/>
  <c r="AT183" i="4"/>
  <c r="AT184" i="4"/>
  <c r="AT185" i="4"/>
  <c r="AT186" i="4"/>
  <c r="AT187" i="4"/>
  <c r="AT188" i="4"/>
  <c r="AT189" i="4"/>
  <c r="AT190" i="4"/>
  <c r="AT191" i="4"/>
  <c r="AT192" i="4"/>
  <c r="AT193" i="4"/>
  <c r="AT194" i="4"/>
  <c r="AT195" i="4"/>
  <c r="AT196" i="4"/>
  <c r="AT197" i="4"/>
  <c r="AT198" i="4"/>
  <c r="AT199" i="4"/>
  <c r="AT200" i="4"/>
  <c r="AT201" i="4"/>
  <c r="AT202" i="4"/>
  <c r="AT203" i="4"/>
  <c r="AT204" i="4"/>
  <c r="AT205" i="4"/>
  <c r="AT206" i="4"/>
  <c r="AT207" i="4"/>
  <c r="AT208" i="4"/>
  <c r="AT209" i="4"/>
  <c r="AT210" i="4"/>
  <c r="AT211" i="4"/>
  <c r="AT212" i="4"/>
  <c r="AT213" i="4"/>
  <c r="AT214" i="4"/>
  <c r="AT215" i="4"/>
  <c r="AT216" i="4"/>
  <c r="AT217" i="4"/>
  <c r="AT218" i="4"/>
  <c r="AT219" i="4"/>
  <c r="AT220" i="4"/>
  <c r="AT221" i="4"/>
  <c r="AT222" i="4"/>
  <c r="AT223" i="4"/>
  <c r="AT224" i="4"/>
  <c r="AT225" i="4"/>
  <c r="AT226" i="4"/>
  <c r="AT227" i="4"/>
  <c r="AT228" i="4"/>
  <c r="AT229" i="4"/>
  <c r="AT230" i="4"/>
  <c r="AT231" i="4"/>
  <c r="AT232" i="4"/>
  <c r="AT233" i="4"/>
  <c r="AT234" i="4"/>
  <c r="AT235" i="4"/>
  <c r="AT236" i="4"/>
  <c r="AT237" i="4"/>
  <c r="AT238" i="4"/>
  <c r="AT239" i="4"/>
  <c r="AT240" i="4"/>
  <c r="AT241" i="4"/>
  <c r="AT242" i="4"/>
  <c r="AT243" i="4"/>
  <c r="AT244" i="4"/>
  <c r="AT245" i="4"/>
  <c r="AT246" i="4"/>
  <c r="AT247" i="4"/>
  <c r="AT248" i="4"/>
  <c r="AT249" i="4"/>
  <c r="AT250" i="4"/>
  <c r="AT251" i="4"/>
  <c r="AT252" i="4"/>
  <c r="AT253" i="4"/>
  <c r="AT254" i="4"/>
  <c r="AT255" i="4"/>
  <c r="AT256" i="4"/>
  <c r="AT257" i="4"/>
  <c r="AT258" i="4"/>
  <c r="AT259" i="4"/>
  <c r="AT260" i="4"/>
  <c r="AT261" i="4"/>
  <c r="AT262" i="4"/>
  <c r="AT263" i="4"/>
  <c r="AT264" i="4"/>
  <c r="AT265" i="4"/>
  <c r="AT266" i="4"/>
  <c r="AT267" i="4"/>
  <c r="AT268" i="4"/>
  <c r="AT269" i="4"/>
  <c r="AT270" i="4"/>
  <c r="AT271" i="4"/>
  <c r="AT272" i="4"/>
  <c r="AT273" i="4"/>
  <c r="AT274" i="4"/>
  <c r="AT275" i="4"/>
  <c r="AT276" i="4"/>
  <c r="AT277" i="4"/>
  <c r="AY151" i="4"/>
  <c r="AX151" i="4"/>
  <c r="AW151" i="4"/>
  <c r="AV151" i="4"/>
  <c r="AT151" i="4"/>
  <c r="AS152" i="4"/>
  <c r="AS153" i="4"/>
  <c r="AS154" i="4"/>
  <c r="AS155" i="4"/>
  <c r="AS156" i="4"/>
  <c r="AS157" i="4"/>
  <c r="AS158" i="4"/>
  <c r="AS159" i="4"/>
  <c r="AS160" i="4"/>
  <c r="AS161" i="4"/>
  <c r="AS162" i="4"/>
  <c r="AS163" i="4"/>
  <c r="AS164" i="4"/>
  <c r="AS165" i="4"/>
  <c r="AS166" i="4"/>
  <c r="AS167" i="4"/>
  <c r="AS168" i="4"/>
  <c r="AS169" i="4"/>
  <c r="AS170" i="4"/>
  <c r="AS171" i="4"/>
  <c r="AS172" i="4"/>
  <c r="AS173" i="4"/>
  <c r="AS174" i="4"/>
  <c r="AS175" i="4"/>
  <c r="AS176" i="4"/>
  <c r="AS177" i="4"/>
  <c r="AS178" i="4"/>
  <c r="AS179" i="4"/>
  <c r="AS180" i="4"/>
  <c r="AS181" i="4"/>
  <c r="AS182" i="4"/>
  <c r="AS183" i="4"/>
  <c r="AS184" i="4"/>
  <c r="AS185" i="4"/>
  <c r="AS186" i="4"/>
  <c r="AS187" i="4"/>
  <c r="AS188" i="4"/>
  <c r="AS189" i="4"/>
  <c r="AS190" i="4"/>
  <c r="AS191" i="4"/>
  <c r="AS192" i="4"/>
  <c r="AS193" i="4"/>
  <c r="AS194" i="4"/>
  <c r="AS195" i="4"/>
  <c r="AS196" i="4"/>
  <c r="AS197" i="4"/>
  <c r="AS198" i="4"/>
  <c r="AS199" i="4"/>
  <c r="AS200" i="4"/>
  <c r="AS201" i="4"/>
  <c r="AS202" i="4"/>
  <c r="AS203" i="4"/>
  <c r="AS204" i="4"/>
  <c r="AS205" i="4"/>
  <c r="AS206" i="4"/>
  <c r="AS207" i="4"/>
  <c r="AS208" i="4"/>
  <c r="AS209" i="4"/>
  <c r="AS210" i="4"/>
  <c r="AS211" i="4"/>
  <c r="AS212" i="4"/>
  <c r="AS213" i="4"/>
  <c r="AS214" i="4"/>
  <c r="AS215" i="4"/>
  <c r="AS216" i="4"/>
  <c r="AS217" i="4"/>
  <c r="AS218" i="4"/>
  <c r="AS219" i="4"/>
  <c r="AS220" i="4"/>
  <c r="AS221" i="4"/>
  <c r="AS222" i="4"/>
  <c r="AS223" i="4"/>
  <c r="AS224" i="4"/>
  <c r="AS225" i="4"/>
  <c r="AS226" i="4"/>
  <c r="AS227" i="4"/>
  <c r="AS228" i="4"/>
  <c r="AS229" i="4"/>
  <c r="AS230" i="4"/>
  <c r="AS231" i="4"/>
  <c r="AS232" i="4"/>
  <c r="AS233" i="4"/>
  <c r="AS234" i="4"/>
  <c r="AS235" i="4"/>
  <c r="AS236" i="4"/>
  <c r="AS237" i="4"/>
  <c r="AS238" i="4"/>
  <c r="AS239" i="4"/>
  <c r="AS240" i="4"/>
  <c r="AS241" i="4"/>
  <c r="AS242" i="4"/>
  <c r="AS243" i="4"/>
  <c r="AS244" i="4"/>
  <c r="AS245" i="4"/>
  <c r="AS246" i="4"/>
  <c r="AS247" i="4"/>
  <c r="AS248" i="4"/>
  <c r="AS249" i="4"/>
  <c r="AS250" i="4"/>
  <c r="AS251" i="4"/>
  <c r="AS252" i="4"/>
  <c r="AS253" i="4"/>
  <c r="AS254" i="4"/>
  <c r="AS255" i="4"/>
  <c r="AS256" i="4"/>
  <c r="AS257" i="4"/>
  <c r="AS258" i="4"/>
  <c r="AS259" i="4"/>
  <c r="AS260" i="4"/>
  <c r="AS261" i="4"/>
  <c r="AS262" i="4"/>
  <c r="AS263" i="4"/>
  <c r="AS264" i="4"/>
  <c r="AS265" i="4"/>
  <c r="AS266" i="4"/>
  <c r="AS267" i="4"/>
  <c r="AS268" i="4"/>
  <c r="AS269" i="4"/>
  <c r="AS270" i="4"/>
  <c r="AS271" i="4"/>
  <c r="AS272" i="4"/>
  <c r="AS273" i="4"/>
  <c r="AS274" i="4"/>
  <c r="AS275" i="4"/>
  <c r="AS276" i="4"/>
  <c r="AS277" i="4"/>
  <c r="AS151" i="4"/>
  <c r="AR152" i="4"/>
  <c r="AR153" i="4"/>
  <c r="AR154" i="4"/>
  <c r="AR155" i="4"/>
  <c r="AR156" i="4"/>
  <c r="AR157" i="4"/>
  <c r="AR158" i="4"/>
  <c r="AR159" i="4"/>
  <c r="AR160" i="4"/>
  <c r="AR161" i="4"/>
  <c r="AR162" i="4"/>
  <c r="AR163" i="4"/>
  <c r="AR164" i="4"/>
  <c r="AR165" i="4"/>
  <c r="AR166" i="4"/>
  <c r="AR167" i="4"/>
  <c r="AR168" i="4"/>
  <c r="AR169" i="4"/>
  <c r="AR170" i="4"/>
  <c r="AR171" i="4"/>
  <c r="AR172" i="4"/>
  <c r="AR173" i="4"/>
  <c r="AR174" i="4"/>
  <c r="AR175" i="4"/>
  <c r="AR176" i="4"/>
  <c r="AR177" i="4"/>
  <c r="AR178" i="4"/>
  <c r="AR179" i="4"/>
  <c r="AR180" i="4"/>
  <c r="AR181" i="4"/>
  <c r="AR182" i="4"/>
  <c r="AR183" i="4"/>
  <c r="AR184" i="4"/>
  <c r="AR185" i="4"/>
  <c r="AR186" i="4"/>
  <c r="AR187" i="4"/>
  <c r="AR188" i="4"/>
  <c r="AR189" i="4"/>
  <c r="AR190" i="4"/>
  <c r="AR191" i="4"/>
  <c r="AR192" i="4"/>
  <c r="AR193" i="4"/>
  <c r="AR194" i="4"/>
  <c r="AR195" i="4"/>
  <c r="AR196" i="4"/>
  <c r="AR197" i="4"/>
  <c r="AR198" i="4"/>
  <c r="AR199" i="4"/>
  <c r="AR200" i="4"/>
  <c r="AR201" i="4"/>
  <c r="AR202" i="4"/>
  <c r="AR203" i="4"/>
  <c r="AR204" i="4"/>
  <c r="AR205" i="4"/>
  <c r="AR206" i="4"/>
  <c r="AR207" i="4"/>
  <c r="AR208" i="4"/>
  <c r="AR209" i="4"/>
  <c r="AR210" i="4"/>
  <c r="AR211" i="4"/>
  <c r="AR212" i="4"/>
  <c r="AR213" i="4"/>
  <c r="AR214" i="4"/>
  <c r="AR215" i="4"/>
  <c r="AR216" i="4"/>
  <c r="AR217" i="4"/>
  <c r="AR218" i="4"/>
  <c r="AR219" i="4"/>
  <c r="AR220" i="4"/>
  <c r="AR221" i="4"/>
  <c r="AR222" i="4"/>
  <c r="AR223" i="4"/>
  <c r="AR224" i="4"/>
  <c r="AR225" i="4"/>
  <c r="AR226" i="4"/>
  <c r="AR227" i="4"/>
  <c r="AR228" i="4"/>
  <c r="AR229" i="4"/>
  <c r="AR230" i="4"/>
  <c r="AR231" i="4"/>
  <c r="AR232" i="4"/>
  <c r="AR233" i="4"/>
  <c r="AR234" i="4"/>
  <c r="AR235" i="4"/>
  <c r="AR236" i="4"/>
  <c r="AR237" i="4"/>
  <c r="AR238" i="4"/>
  <c r="AR239" i="4"/>
  <c r="AR240" i="4"/>
  <c r="AR241" i="4"/>
  <c r="AR242" i="4"/>
  <c r="AR243" i="4"/>
  <c r="AR244" i="4"/>
  <c r="AR245" i="4"/>
  <c r="AR246" i="4"/>
  <c r="AR247" i="4"/>
  <c r="AR248" i="4"/>
  <c r="AR249" i="4"/>
  <c r="AR250" i="4"/>
  <c r="AR251" i="4"/>
  <c r="AR252" i="4"/>
  <c r="AR253" i="4"/>
  <c r="AR254" i="4"/>
  <c r="AR255" i="4"/>
  <c r="AR256" i="4"/>
  <c r="AR257" i="4"/>
  <c r="AR258" i="4"/>
  <c r="AR259" i="4"/>
  <c r="AR260" i="4"/>
  <c r="AR261" i="4"/>
  <c r="AR262" i="4"/>
  <c r="AR263" i="4"/>
  <c r="AR264" i="4"/>
  <c r="AR265" i="4"/>
  <c r="AR266" i="4"/>
  <c r="AR267" i="4"/>
  <c r="AR268" i="4"/>
  <c r="AR269" i="4"/>
  <c r="AR270" i="4"/>
  <c r="AR271" i="4"/>
  <c r="AR272" i="4"/>
  <c r="AR273" i="4"/>
  <c r="AR274" i="4"/>
  <c r="AR275" i="4"/>
  <c r="AR276" i="4"/>
  <c r="AR277" i="4"/>
  <c r="AQ151" i="4"/>
  <c r="AO151" i="4"/>
  <c r="AQ434" i="4"/>
  <c r="AQ435" i="4"/>
  <c r="AQ436" i="4"/>
  <c r="AQ437" i="4"/>
  <c r="AQ438" i="4"/>
  <c r="AQ439" i="4"/>
  <c r="AQ440" i="4"/>
  <c r="AQ441" i="4"/>
  <c r="AQ442" i="4"/>
  <c r="AQ443" i="4"/>
  <c r="AQ444" i="4"/>
  <c r="AQ445" i="4"/>
  <c r="AQ446" i="4"/>
  <c r="AQ447" i="4"/>
  <c r="AQ448" i="4"/>
  <c r="AQ449" i="4"/>
  <c r="AQ450" i="4"/>
  <c r="AQ451" i="4"/>
  <c r="AQ452" i="4"/>
  <c r="AQ453" i="4"/>
  <c r="AQ454" i="4"/>
  <c r="AQ455" i="4"/>
  <c r="AQ456" i="4"/>
  <c r="AQ457" i="4"/>
  <c r="AQ458" i="4"/>
  <c r="AQ459" i="4"/>
  <c r="AQ460" i="4"/>
  <c r="AQ461" i="4"/>
  <c r="AQ462" i="4"/>
  <c r="AQ463" i="4"/>
  <c r="AQ464" i="4"/>
  <c r="AQ465" i="4"/>
  <c r="AQ466" i="4"/>
  <c r="AQ467" i="4"/>
  <c r="AQ468" i="4"/>
  <c r="AQ469" i="4"/>
  <c r="AQ470" i="4"/>
  <c r="AQ471" i="4"/>
  <c r="AQ472" i="4"/>
  <c r="AQ473" i="4"/>
  <c r="AQ474" i="4"/>
  <c r="AQ475" i="4"/>
  <c r="AQ476" i="4"/>
  <c r="AQ477" i="4"/>
  <c r="AQ478" i="4"/>
  <c r="AQ479" i="4"/>
  <c r="AQ480" i="4"/>
  <c r="AQ481" i="4"/>
  <c r="AQ482" i="4"/>
  <c r="AQ483" i="4"/>
  <c r="AQ484" i="4"/>
  <c r="AQ485" i="4"/>
  <c r="AQ486" i="4"/>
  <c r="AQ487" i="4"/>
  <c r="AQ488" i="4"/>
  <c r="AQ489" i="4"/>
  <c r="AQ490" i="4"/>
  <c r="AQ491" i="4"/>
  <c r="AQ492" i="4"/>
  <c r="AQ493" i="4"/>
  <c r="AQ494" i="4"/>
  <c r="AQ495" i="4"/>
  <c r="AQ496" i="4"/>
  <c r="AQ497" i="4"/>
  <c r="AQ498" i="4"/>
  <c r="AQ499" i="4"/>
  <c r="AQ500" i="4"/>
  <c r="AQ501" i="4"/>
  <c r="AQ502" i="4"/>
  <c r="AQ503" i="4"/>
  <c r="AQ504" i="4"/>
  <c r="AQ505" i="4"/>
  <c r="AQ506" i="4"/>
  <c r="AQ507" i="4"/>
  <c r="AQ508" i="4"/>
  <c r="AQ509" i="4"/>
  <c r="AQ510" i="4"/>
  <c r="AQ511" i="4"/>
  <c r="AQ512" i="4"/>
  <c r="AQ513" i="4"/>
  <c r="AQ514" i="4"/>
  <c r="AQ515" i="4"/>
  <c r="AQ516" i="4"/>
  <c r="AQ517" i="4"/>
  <c r="AQ518" i="4"/>
  <c r="AQ519" i="4"/>
  <c r="AQ520" i="4"/>
  <c r="AQ521" i="4"/>
  <c r="AQ522" i="4"/>
  <c r="AQ523" i="4"/>
  <c r="AQ524" i="4"/>
  <c r="AQ525" i="4"/>
  <c r="AQ526" i="4"/>
  <c r="AQ527" i="4"/>
  <c r="AQ528" i="4"/>
  <c r="AQ529" i="4"/>
  <c r="AQ530" i="4"/>
  <c r="AQ531" i="4"/>
  <c r="AQ532" i="4"/>
  <c r="AQ533" i="4"/>
  <c r="AQ534" i="4"/>
  <c r="AQ535" i="4"/>
  <c r="AQ536" i="4"/>
  <c r="AQ537" i="4"/>
  <c r="AQ538" i="4"/>
  <c r="AQ539" i="4"/>
  <c r="AQ540" i="4"/>
  <c r="AQ541" i="4"/>
  <c r="AQ542" i="4"/>
  <c r="AQ543" i="4"/>
  <c r="AQ544" i="4"/>
  <c r="AQ545" i="4"/>
  <c r="AQ546" i="4"/>
  <c r="AQ547" i="4"/>
  <c r="AQ548" i="4"/>
  <c r="AQ549" i="4"/>
  <c r="AQ550" i="4"/>
  <c r="AQ551" i="4"/>
  <c r="AQ552" i="4"/>
  <c r="AQ553" i="4"/>
  <c r="AQ554" i="4"/>
  <c r="AQ555" i="4"/>
  <c r="AQ556" i="4"/>
  <c r="AQ557" i="4"/>
  <c r="AQ558" i="4"/>
  <c r="AQ559" i="4"/>
  <c r="AQ433" i="4"/>
  <c r="AO434" i="4"/>
  <c r="AO435" i="4"/>
  <c r="AO436" i="4"/>
  <c r="AO437" i="4"/>
  <c r="AO438" i="4"/>
  <c r="AO439" i="4"/>
  <c r="AO440" i="4"/>
  <c r="AO441" i="4"/>
  <c r="AO442" i="4"/>
  <c r="AO443" i="4"/>
  <c r="AO444" i="4"/>
  <c r="AO445" i="4"/>
  <c r="AO446" i="4"/>
  <c r="AO447" i="4"/>
  <c r="AO448" i="4"/>
  <c r="AO449" i="4"/>
  <c r="AO450" i="4"/>
  <c r="AO451" i="4"/>
  <c r="AO452" i="4"/>
  <c r="AO453" i="4"/>
  <c r="AO454" i="4"/>
  <c r="AO455" i="4"/>
  <c r="AO456" i="4"/>
  <c r="AO457" i="4"/>
  <c r="AO458" i="4"/>
  <c r="AO459" i="4"/>
  <c r="AO460" i="4"/>
  <c r="AO461" i="4"/>
  <c r="AO462" i="4"/>
  <c r="AO463" i="4"/>
  <c r="AO464" i="4"/>
  <c r="AO465" i="4"/>
  <c r="AO466" i="4"/>
  <c r="AO467" i="4"/>
  <c r="AO468" i="4"/>
  <c r="AO469" i="4"/>
  <c r="AO470" i="4"/>
  <c r="AO471" i="4"/>
  <c r="AO472" i="4"/>
  <c r="AO473" i="4"/>
  <c r="AO474" i="4"/>
  <c r="AO475" i="4"/>
  <c r="AO476" i="4"/>
  <c r="AO477" i="4"/>
  <c r="AO478" i="4"/>
  <c r="AO479" i="4"/>
  <c r="AO480" i="4"/>
  <c r="AO481" i="4"/>
  <c r="AO482" i="4"/>
  <c r="AO483" i="4"/>
  <c r="AO484" i="4"/>
  <c r="AO485" i="4"/>
  <c r="AO486" i="4"/>
  <c r="AO487" i="4"/>
  <c r="AO488" i="4"/>
  <c r="AO489" i="4"/>
  <c r="AO490" i="4"/>
  <c r="AO491" i="4"/>
  <c r="AO492" i="4"/>
  <c r="AO493" i="4"/>
  <c r="AO494" i="4"/>
  <c r="AO495" i="4"/>
  <c r="AO496" i="4"/>
  <c r="AO497" i="4"/>
  <c r="AO498" i="4"/>
  <c r="AO499" i="4"/>
  <c r="AO500" i="4"/>
  <c r="AO501" i="4"/>
  <c r="AO502" i="4"/>
  <c r="AO503" i="4"/>
  <c r="AO504" i="4"/>
  <c r="AO505" i="4"/>
  <c r="AO506" i="4"/>
  <c r="AO507" i="4"/>
  <c r="AO508" i="4"/>
  <c r="AO509" i="4"/>
  <c r="AO510" i="4"/>
  <c r="AO511" i="4"/>
  <c r="AO512" i="4"/>
  <c r="AO513" i="4"/>
  <c r="AO514" i="4"/>
  <c r="AO515" i="4"/>
  <c r="AO516" i="4"/>
  <c r="AO517" i="4"/>
  <c r="AO518" i="4"/>
  <c r="AO519" i="4"/>
  <c r="AO520" i="4"/>
  <c r="AO521" i="4"/>
  <c r="AO522" i="4"/>
  <c r="AO523" i="4"/>
  <c r="AO524" i="4"/>
  <c r="AO525" i="4"/>
  <c r="AO526" i="4"/>
  <c r="AO527" i="4"/>
  <c r="AO528" i="4"/>
  <c r="AO529" i="4"/>
  <c r="AO530" i="4"/>
  <c r="AO531" i="4"/>
  <c r="AO532" i="4"/>
  <c r="AO533" i="4"/>
  <c r="AO534" i="4"/>
  <c r="AO535" i="4"/>
  <c r="AO536" i="4"/>
  <c r="AO537" i="4"/>
  <c r="AO538" i="4"/>
  <c r="AO539" i="4"/>
  <c r="AO540" i="4"/>
  <c r="AO541" i="4"/>
  <c r="AO542" i="4"/>
  <c r="AO543" i="4"/>
  <c r="AO544" i="4"/>
  <c r="AO545" i="4"/>
  <c r="AO546" i="4"/>
  <c r="AO547" i="4"/>
  <c r="AO548" i="4"/>
  <c r="AO549" i="4"/>
  <c r="AO550" i="4"/>
  <c r="AO551" i="4"/>
  <c r="AO552" i="4"/>
  <c r="AO553" i="4"/>
  <c r="AO554" i="4"/>
  <c r="AO555" i="4"/>
  <c r="AO556" i="4"/>
  <c r="AO557" i="4"/>
  <c r="AO558" i="4"/>
  <c r="AO559" i="4"/>
  <c r="AO433" i="4"/>
  <c r="AP434" i="4"/>
  <c r="AP435" i="4"/>
  <c r="AP436" i="4"/>
  <c r="AP437" i="4"/>
  <c r="AP438" i="4"/>
  <c r="AP439" i="4"/>
  <c r="AP440" i="4"/>
  <c r="AP441" i="4"/>
  <c r="AP442" i="4"/>
  <c r="AP443" i="4"/>
  <c r="AP444" i="4"/>
  <c r="AP445" i="4"/>
  <c r="AP446" i="4"/>
  <c r="AP447" i="4"/>
  <c r="AP448" i="4"/>
  <c r="AP449" i="4"/>
  <c r="AP450" i="4"/>
  <c r="AP451" i="4"/>
  <c r="AP452" i="4"/>
  <c r="AP453" i="4"/>
  <c r="AP454" i="4"/>
  <c r="AP455" i="4"/>
  <c r="AP456" i="4"/>
  <c r="AP457" i="4"/>
  <c r="AP458" i="4"/>
  <c r="AP459" i="4"/>
  <c r="AP460" i="4"/>
  <c r="AP461" i="4"/>
  <c r="AP462" i="4"/>
  <c r="AP463" i="4"/>
  <c r="AP464" i="4"/>
  <c r="AP465" i="4"/>
  <c r="AP466" i="4"/>
  <c r="AP467" i="4"/>
  <c r="AP468" i="4"/>
  <c r="AP469" i="4"/>
  <c r="AP470" i="4"/>
  <c r="AP471" i="4"/>
  <c r="AP472" i="4"/>
  <c r="AP473" i="4"/>
  <c r="AP474" i="4"/>
  <c r="AP475" i="4"/>
  <c r="AP476" i="4"/>
  <c r="AP477" i="4"/>
  <c r="AP478" i="4"/>
  <c r="AP479" i="4"/>
  <c r="AP480" i="4"/>
  <c r="AP481" i="4"/>
  <c r="AP482" i="4"/>
  <c r="AP483" i="4"/>
  <c r="AP484" i="4"/>
  <c r="AP485" i="4"/>
  <c r="AP486" i="4"/>
  <c r="AP487" i="4"/>
  <c r="AP488" i="4"/>
  <c r="AP489" i="4"/>
  <c r="AP490" i="4"/>
  <c r="AP491" i="4"/>
  <c r="AP492" i="4"/>
  <c r="AP493" i="4"/>
  <c r="AP494" i="4"/>
  <c r="AP495" i="4"/>
  <c r="AP496" i="4"/>
  <c r="AP497" i="4"/>
  <c r="AP498" i="4"/>
  <c r="AP499" i="4"/>
  <c r="AP500" i="4"/>
  <c r="AP501" i="4"/>
  <c r="AP502" i="4"/>
  <c r="AP503" i="4"/>
  <c r="AP504" i="4"/>
  <c r="AP505" i="4"/>
  <c r="AP506" i="4"/>
  <c r="AP507" i="4"/>
  <c r="AP508" i="4"/>
  <c r="AP509" i="4"/>
  <c r="AP510" i="4"/>
  <c r="AP511" i="4"/>
  <c r="AP512" i="4"/>
  <c r="AP513" i="4"/>
  <c r="AP514" i="4"/>
  <c r="AP515" i="4"/>
  <c r="AP516" i="4"/>
  <c r="AP517" i="4"/>
  <c r="AP518" i="4"/>
  <c r="AP519" i="4"/>
  <c r="AP520" i="4"/>
  <c r="AP521" i="4"/>
  <c r="AP522" i="4"/>
  <c r="AP523" i="4"/>
  <c r="AP524" i="4"/>
  <c r="AP525" i="4"/>
  <c r="AP526" i="4"/>
  <c r="AP527" i="4"/>
  <c r="AP528" i="4"/>
  <c r="AP529" i="4"/>
  <c r="AP530" i="4"/>
  <c r="AP531" i="4"/>
  <c r="AP532" i="4"/>
  <c r="AP533" i="4"/>
  <c r="AP534" i="4"/>
  <c r="AP535" i="4"/>
  <c r="AP536" i="4"/>
  <c r="AP537" i="4"/>
  <c r="AP538" i="4"/>
  <c r="AP539" i="4"/>
  <c r="AP540" i="4"/>
  <c r="AP541" i="4"/>
  <c r="AP542" i="4"/>
  <c r="AP543" i="4"/>
  <c r="AP544" i="4"/>
  <c r="AP545" i="4"/>
  <c r="AP546" i="4"/>
  <c r="AP547" i="4"/>
  <c r="AP548" i="4"/>
  <c r="AP549" i="4"/>
  <c r="AP550" i="4"/>
  <c r="AP551" i="4"/>
  <c r="AP552" i="4"/>
  <c r="AP553" i="4"/>
  <c r="AP554" i="4"/>
  <c r="AP555" i="4"/>
  <c r="AP556" i="4"/>
  <c r="AP557" i="4"/>
  <c r="AP558" i="4"/>
  <c r="AP559" i="4"/>
  <c r="AP433" i="4"/>
  <c r="AQ293" i="4"/>
  <c r="AQ294" i="4"/>
  <c r="AQ295" i="4"/>
  <c r="AQ296" i="4"/>
  <c r="AQ297" i="4"/>
  <c r="AQ298" i="4"/>
  <c r="AQ299" i="4"/>
  <c r="AQ300" i="4"/>
  <c r="AQ301" i="4"/>
  <c r="AQ302" i="4"/>
  <c r="AQ303" i="4"/>
  <c r="AQ304" i="4"/>
  <c r="AQ305" i="4"/>
  <c r="AQ306" i="4"/>
  <c r="AQ307" i="4"/>
  <c r="AQ308" i="4"/>
  <c r="AQ309" i="4"/>
  <c r="AQ310" i="4"/>
  <c r="AQ311" i="4"/>
  <c r="AQ312" i="4"/>
  <c r="AQ313" i="4"/>
  <c r="AQ314" i="4"/>
  <c r="AQ315" i="4"/>
  <c r="AQ316" i="4"/>
  <c r="AQ317" i="4"/>
  <c r="AQ318" i="4"/>
  <c r="AQ319" i="4"/>
  <c r="AQ320" i="4"/>
  <c r="AQ321" i="4"/>
  <c r="AQ322" i="4"/>
  <c r="AQ323" i="4"/>
  <c r="AQ324" i="4"/>
  <c r="AQ325" i="4"/>
  <c r="AQ326" i="4"/>
  <c r="AQ327" i="4"/>
  <c r="AQ328" i="4"/>
  <c r="AQ329" i="4"/>
  <c r="AQ330" i="4"/>
  <c r="AQ331" i="4"/>
  <c r="AQ332" i="4"/>
  <c r="AQ333" i="4"/>
  <c r="AQ334" i="4"/>
  <c r="AQ335" i="4"/>
  <c r="AQ336" i="4"/>
  <c r="AQ337" i="4"/>
  <c r="AQ338" i="4"/>
  <c r="AQ339" i="4"/>
  <c r="AQ340" i="4"/>
  <c r="AQ341" i="4"/>
  <c r="AQ342" i="4"/>
  <c r="AQ343" i="4"/>
  <c r="AQ344" i="4"/>
  <c r="AQ345" i="4"/>
  <c r="AQ346" i="4"/>
  <c r="AQ347" i="4"/>
  <c r="AQ348" i="4"/>
  <c r="AQ349" i="4"/>
  <c r="AQ350" i="4"/>
  <c r="AQ351" i="4"/>
  <c r="AQ352" i="4"/>
  <c r="AQ353" i="4"/>
  <c r="AQ354" i="4"/>
  <c r="AQ355" i="4"/>
  <c r="AQ356" i="4"/>
  <c r="AQ357" i="4"/>
  <c r="AQ358" i="4"/>
  <c r="AQ359" i="4"/>
  <c r="AQ360" i="4"/>
  <c r="AQ361" i="4"/>
  <c r="AQ362" i="4"/>
  <c r="AQ363" i="4"/>
  <c r="AQ364" i="4"/>
  <c r="AQ365" i="4"/>
  <c r="AQ366" i="4"/>
  <c r="AQ367" i="4"/>
  <c r="AQ368" i="4"/>
  <c r="AQ369" i="4"/>
  <c r="AQ370" i="4"/>
  <c r="AQ371" i="4"/>
  <c r="AQ372" i="4"/>
  <c r="AQ373" i="4"/>
  <c r="AQ374" i="4"/>
  <c r="AQ375" i="4"/>
  <c r="AQ376" i="4"/>
  <c r="AQ377" i="4"/>
  <c r="AQ378" i="4"/>
  <c r="AQ379" i="4"/>
  <c r="AQ380" i="4"/>
  <c r="AQ381" i="4"/>
  <c r="AQ382" i="4"/>
  <c r="AQ383" i="4"/>
  <c r="AQ384" i="4"/>
  <c r="AQ385" i="4"/>
  <c r="AQ386" i="4"/>
  <c r="AQ387" i="4"/>
  <c r="AQ388" i="4"/>
  <c r="AQ389" i="4"/>
  <c r="AQ390" i="4"/>
  <c r="AQ391" i="4"/>
  <c r="AQ392" i="4"/>
  <c r="AQ393" i="4"/>
  <c r="AQ394" i="4"/>
  <c r="AQ395" i="4"/>
  <c r="AQ396" i="4"/>
  <c r="AQ397" i="4"/>
  <c r="AQ398" i="4"/>
  <c r="AQ399" i="4"/>
  <c r="AQ400" i="4"/>
  <c r="AQ401" i="4"/>
  <c r="AQ402" i="4"/>
  <c r="AQ403" i="4"/>
  <c r="AQ404" i="4"/>
  <c r="AQ405" i="4"/>
  <c r="AQ406" i="4"/>
  <c r="AQ407" i="4"/>
  <c r="AQ408" i="4"/>
  <c r="AQ409" i="4"/>
  <c r="AQ410" i="4"/>
  <c r="AQ411" i="4"/>
  <c r="AQ412" i="4"/>
  <c r="AQ413" i="4"/>
  <c r="AQ414" i="4"/>
  <c r="AQ415" i="4"/>
  <c r="AQ416" i="4"/>
  <c r="AQ417" i="4"/>
  <c r="AQ418" i="4"/>
  <c r="AQ292" i="4"/>
  <c r="AP293" i="4"/>
  <c r="AP294" i="4"/>
  <c r="AP295" i="4"/>
  <c r="AP296" i="4"/>
  <c r="AP297" i="4"/>
  <c r="AP298" i="4"/>
  <c r="AP299" i="4"/>
  <c r="AP300" i="4"/>
  <c r="AP301" i="4"/>
  <c r="AP302" i="4"/>
  <c r="AP303" i="4"/>
  <c r="AP304" i="4"/>
  <c r="AP305" i="4"/>
  <c r="AP306" i="4"/>
  <c r="AP307" i="4"/>
  <c r="AP308" i="4"/>
  <c r="AP309" i="4"/>
  <c r="AP310" i="4"/>
  <c r="AP311" i="4"/>
  <c r="AP312" i="4"/>
  <c r="AP313" i="4"/>
  <c r="AP314" i="4"/>
  <c r="AP315" i="4"/>
  <c r="AP316" i="4"/>
  <c r="AP317" i="4"/>
  <c r="AP318" i="4"/>
  <c r="AP319" i="4"/>
  <c r="AP320" i="4"/>
  <c r="AP321" i="4"/>
  <c r="AP322" i="4"/>
  <c r="AP323" i="4"/>
  <c r="AP324" i="4"/>
  <c r="AP325" i="4"/>
  <c r="AP326" i="4"/>
  <c r="AP327" i="4"/>
  <c r="AP328" i="4"/>
  <c r="AP329" i="4"/>
  <c r="AP330" i="4"/>
  <c r="AP331" i="4"/>
  <c r="AP332" i="4"/>
  <c r="AP333" i="4"/>
  <c r="AP334" i="4"/>
  <c r="AP335" i="4"/>
  <c r="AP336" i="4"/>
  <c r="AP337" i="4"/>
  <c r="AP338" i="4"/>
  <c r="AP339" i="4"/>
  <c r="AP340" i="4"/>
  <c r="AP341" i="4"/>
  <c r="AP342" i="4"/>
  <c r="AP343" i="4"/>
  <c r="AP344" i="4"/>
  <c r="AP345" i="4"/>
  <c r="AP346" i="4"/>
  <c r="AP347" i="4"/>
  <c r="AP348" i="4"/>
  <c r="AP349" i="4"/>
  <c r="AP350" i="4"/>
  <c r="AP351" i="4"/>
  <c r="AP352" i="4"/>
  <c r="AP353" i="4"/>
  <c r="AP354" i="4"/>
  <c r="AP355" i="4"/>
  <c r="AP356" i="4"/>
  <c r="AP357" i="4"/>
  <c r="AP358" i="4"/>
  <c r="AP359" i="4"/>
  <c r="AP360" i="4"/>
  <c r="AP361" i="4"/>
  <c r="AP362" i="4"/>
  <c r="AP363" i="4"/>
  <c r="AP364" i="4"/>
  <c r="AP365" i="4"/>
  <c r="AP366" i="4"/>
  <c r="AP367" i="4"/>
  <c r="AP368" i="4"/>
  <c r="AP369" i="4"/>
  <c r="AP370" i="4"/>
  <c r="AP371" i="4"/>
  <c r="AP372" i="4"/>
  <c r="AP373" i="4"/>
  <c r="AP374" i="4"/>
  <c r="AP375" i="4"/>
  <c r="AP376" i="4"/>
  <c r="AP377" i="4"/>
  <c r="AP378" i="4"/>
  <c r="AP379" i="4"/>
  <c r="AP380" i="4"/>
  <c r="AP381" i="4"/>
  <c r="AP382" i="4"/>
  <c r="AP383" i="4"/>
  <c r="AP384" i="4"/>
  <c r="AP385" i="4"/>
  <c r="AP386" i="4"/>
  <c r="AP387" i="4"/>
  <c r="AP388" i="4"/>
  <c r="AP389" i="4"/>
  <c r="AP390" i="4"/>
  <c r="AP391" i="4"/>
  <c r="AP392" i="4"/>
  <c r="AP393" i="4"/>
  <c r="AP394" i="4"/>
  <c r="AP395" i="4"/>
  <c r="AP396" i="4"/>
  <c r="AP397" i="4"/>
  <c r="AP398" i="4"/>
  <c r="AP399" i="4"/>
  <c r="AP400" i="4"/>
  <c r="AP401" i="4"/>
  <c r="AP402" i="4"/>
  <c r="AP403" i="4"/>
  <c r="AP404" i="4"/>
  <c r="AP405" i="4"/>
  <c r="AP406" i="4"/>
  <c r="AP407" i="4"/>
  <c r="AP408" i="4"/>
  <c r="AP409" i="4"/>
  <c r="AP410" i="4"/>
  <c r="AP411" i="4"/>
  <c r="AP412" i="4"/>
  <c r="AP413" i="4"/>
  <c r="AP414" i="4"/>
  <c r="AP415" i="4"/>
  <c r="AP416" i="4"/>
  <c r="AP417" i="4"/>
  <c r="AP418" i="4"/>
  <c r="AP292" i="4"/>
  <c r="AO293" i="4"/>
  <c r="AO294" i="4"/>
  <c r="AO295" i="4"/>
  <c r="AO296" i="4"/>
  <c r="AO297" i="4"/>
  <c r="AO298" i="4"/>
  <c r="AO299" i="4"/>
  <c r="AO300" i="4"/>
  <c r="AO301" i="4"/>
  <c r="AO302" i="4"/>
  <c r="AO303" i="4"/>
  <c r="AO304" i="4"/>
  <c r="AO305" i="4"/>
  <c r="AO306" i="4"/>
  <c r="AO307" i="4"/>
  <c r="AO308" i="4"/>
  <c r="AO309" i="4"/>
  <c r="AO310" i="4"/>
  <c r="AO311" i="4"/>
  <c r="AO312" i="4"/>
  <c r="AO313" i="4"/>
  <c r="AO314" i="4"/>
  <c r="AO315" i="4"/>
  <c r="AO316" i="4"/>
  <c r="AO317" i="4"/>
  <c r="AO318" i="4"/>
  <c r="AO319" i="4"/>
  <c r="AO320" i="4"/>
  <c r="AO321" i="4"/>
  <c r="AO322" i="4"/>
  <c r="AO323" i="4"/>
  <c r="AO324" i="4"/>
  <c r="AO325" i="4"/>
  <c r="AO326" i="4"/>
  <c r="AO327" i="4"/>
  <c r="AO328" i="4"/>
  <c r="AO329" i="4"/>
  <c r="AO330" i="4"/>
  <c r="AO331" i="4"/>
  <c r="AO332" i="4"/>
  <c r="AO333" i="4"/>
  <c r="AO334" i="4"/>
  <c r="AO335" i="4"/>
  <c r="AO336" i="4"/>
  <c r="AO337" i="4"/>
  <c r="AO338" i="4"/>
  <c r="AO339" i="4"/>
  <c r="AO340" i="4"/>
  <c r="AO341" i="4"/>
  <c r="AO342" i="4"/>
  <c r="AO343" i="4"/>
  <c r="AO344" i="4"/>
  <c r="AO345" i="4"/>
  <c r="AO346" i="4"/>
  <c r="AO347" i="4"/>
  <c r="AO348" i="4"/>
  <c r="AO349" i="4"/>
  <c r="AO350" i="4"/>
  <c r="AO351" i="4"/>
  <c r="AO352" i="4"/>
  <c r="AO353" i="4"/>
  <c r="AO354" i="4"/>
  <c r="AO355" i="4"/>
  <c r="AO356" i="4"/>
  <c r="AO357" i="4"/>
  <c r="AO358" i="4"/>
  <c r="AO359" i="4"/>
  <c r="AO360" i="4"/>
  <c r="AO361" i="4"/>
  <c r="AO362" i="4"/>
  <c r="AO363" i="4"/>
  <c r="AO364" i="4"/>
  <c r="AO365" i="4"/>
  <c r="AO366" i="4"/>
  <c r="AO367" i="4"/>
  <c r="AO368" i="4"/>
  <c r="AO369" i="4"/>
  <c r="AO370" i="4"/>
  <c r="AO371" i="4"/>
  <c r="AO372" i="4"/>
  <c r="AO373" i="4"/>
  <c r="AO374" i="4"/>
  <c r="AO375" i="4"/>
  <c r="AO376" i="4"/>
  <c r="AO377" i="4"/>
  <c r="AO378" i="4"/>
  <c r="AO379" i="4"/>
  <c r="AO380" i="4"/>
  <c r="AO381" i="4"/>
  <c r="AO382" i="4"/>
  <c r="AO383" i="4"/>
  <c r="AO384" i="4"/>
  <c r="AO385" i="4"/>
  <c r="AO386" i="4"/>
  <c r="AO387" i="4"/>
  <c r="AO388" i="4"/>
  <c r="AO389" i="4"/>
  <c r="AO390" i="4"/>
  <c r="AO391" i="4"/>
  <c r="AO392" i="4"/>
  <c r="AO393" i="4"/>
  <c r="AO394" i="4"/>
  <c r="AO395" i="4"/>
  <c r="AO396" i="4"/>
  <c r="AO397" i="4"/>
  <c r="AO398" i="4"/>
  <c r="AO399" i="4"/>
  <c r="AO400" i="4"/>
  <c r="AO401" i="4"/>
  <c r="AO402" i="4"/>
  <c r="AO403" i="4"/>
  <c r="AO404" i="4"/>
  <c r="AO405" i="4"/>
  <c r="AO406" i="4"/>
  <c r="AO407" i="4"/>
  <c r="AO408" i="4"/>
  <c r="AO409" i="4"/>
  <c r="AO410" i="4"/>
  <c r="AO411" i="4"/>
  <c r="AO412" i="4"/>
  <c r="AO413" i="4"/>
  <c r="AO414" i="4"/>
  <c r="AO415" i="4"/>
  <c r="AO416" i="4"/>
  <c r="AO417" i="4"/>
  <c r="AO418" i="4"/>
  <c r="AO292" i="4"/>
  <c r="AN152" i="4"/>
  <c r="AN153" i="4"/>
  <c r="AN154" i="4"/>
  <c r="AN155" i="4"/>
  <c r="AN156" i="4"/>
  <c r="AN157" i="4"/>
  <c r="AN159" i="4"/>
  <c r="AN160" i="4"/>
  <c r="AN161" i="4"/>
  <c r="AN162" i="4"/>
  <c r="AN163" i="4"/>
  <c r="AN164" i="4"/>
  <c r="AN165" i="4"/>
  <c r="AN166" i="4"/>
  <c r="AN167" i="4"/>
  <c r="AN168" i="4"/>
  <c r="AN169" i="4"/>
  <c r="AN170" i="4"/>
  <c r="AN171" i="4"/>
  <c r="AN172" i="4"/>
  <c r="AN173" i="4"/>
  <c r="AN174" i="4"/>
  <c r="AN175" i="4"/>
  <c r="AN176" i="4"/>
  <c r="AN177" i="4"/>
  <c r="AN178" i="4"/>
  <c r="AN179" i="4"/>
  <c r="AN180" i="4"/>
  <c r="AN181" i="4"/>
  <c r="AN182" i="4"/>
  <c r="AN183" i="4"/>
  <c r="AN184" i="4"/>
  <c r="AN185" i="4"/>
  <c r="AN186" i="4"/>
  <c r="AN187" i="4"/>
  <c r="AN188" i="4"/>
  <c r="AN189" i="4"/>
  <c r="AN190" i="4"/>
  <c r="AN191" i="4"/>
  <c r="AN192" i="4"/>
  <c r="AN193" i="4"/>
  <c r="AN194" i="4"/>
  <c r="AN195" i="4"/>
  <c r="AN196" i="4"/>
  <c r="AN197" i="4"/>
  <c r="AN198" i="4"/>
  <c r="AN199" i="4"/>
  <c r="AN200" i="4"/>
  <c r="AN201" i="4"/>
  <c r="AN202" i="4"/>
  <c r="AN203" i="4"/>
  <c r="AN204" i="4"/>
  <c r="AN205" i="4"/>
  <c r="AN206" i="4"/>
  <c r="AN207" i="4"/>
  <c r="AN208" i="4"/>
  <c r="AN209" i="4"/>
  <c r="AN210" i="4"/>
  <c r="AN211" i="4"/>
  <c r="AN212" i="4"/>
  <c r="AN213" i="4"/>
  <c r="AN214" i="4"/>
  <c r="AN215" i="4"/>
  <c r="AN216" i="4"/>
  <c r="AN217" i="4"/>
  <c r="AN218" i="4"/>
  <c r="AN219" i="4"/>
  <c r="AN220" i="4"/>
  <c r="AN221" i="4"/>
  <c r="AN222" i="4"/>
  <c r="AN223" i="4"/>
  <c r="AN224" i="4"/>
  <c r="AN225" i="4"/>
  <c r="AN226" i="4"/>
  <c r="AN227" i="4"/>
  <c r="AN228" i="4"/>
  <c r="AN229" i="4"/>
  <c r="AN230" i="4"/>
  <c r="AN231" i="4"/>
  <c r="AN232" i="4"/>
  <c r="AN233" i="4"/>
  <c r="AN234" i="4"/>
  <c r="AN235" i="4"/>
  <c r="AN236" i="4"/>
  <c r="AN237" i="4"/>
  <c r="AN238" i="4"/>
  <c r="AN239" i="4"/>
  <c r="AN240" i="4"/>
  <c r="AN241" i="4"/>
  <c r="AN242" i="4"/>
  <c r="AN243" i="4"/>
  <c r="AN244" i="4"/>
  <c r="AN245" i="4"/>
  <c r="AN246" i="4"/>
  <c r="AN247" i="4"/>
  <c r="AN248" i="4"/>
  <c r="AN249" i="4"/>
  <c r="AN250" i="4"/>
  <c r="AN251" i="4"/>
  <c r="AN252" i="4"/>
  <c r="AN253" i="4"/>
  <c r="AN254" i="4"/>
  <c r="AN255" i="4"/>
  <c r="AN256" i="4"/>
  <c r="AN257" i="4"/>
  <c r="AN258" i="4"/>
  <c r="AN259" i="4"/>
  <c r="AN260" i="4"/>
  <c r="AN261" i="4"/>
  <c r="AN262" i="4"/>
  <c r="AN263" i="4"/>
  <c r="AN264" i="4"/>
  <c r="AN265" i="4"/>
  <c r="AN266" i="4"/>
  <c r="AN267" i="4"/>
  <c r="AN268" i="4"/>
  <c r="AN269" i="4"/>
  <c r="AN270" i="4"/>
  <c r="AN271" i="4"/>
  <c r="AN272" i="4"/>
  <c r="AN273" i="4"/>
  <c r="AN274" i="4"/>
  <c r="AN275" i="4"/>
  <c r="AN276" i="4"/>
  <c r="AN277" i="4"/>
  <c r="AO152" i="4"/>
  <c r="AO153" i="4"/>
  <c r="AO154" i="4"/>
  <c r="AO155" i="4"/>
  <c r="AO156" i="4"/>
  <c r="AO157" i="4"/>
  <c r="AO158" i="4"/>
  <c r="AO159" i="4"/>
  <c r="AO160" i="4"/>
  <c r="AO161" i="4"/>
  <c r="AO162" i="4"/>
  <c r="AO163" i="4"/>
  <c r="AO164" i="4"/>
  <c r="AO165" i="4"/>
  <c r="AO166" i="4"/>
  <c r="AO167" i="4"/>
  <c r="AO168" i="4"/>
  <c r="AO169" i="4"/>
  <c r="AO170" i="4"/>
  <c r="AO171" i="4"/>
  <c r="AO172" i="4"/>
  <c r="AO173" i="4"/>
  <c r="AO174" i="4"/>
  <c r="AO175" i="4"/>
  <c r="AO176" i="4"/>
  <c r="AO177" i="4"/>
  <c r="AO178" i="4"/>
  <c r="AO179" i="4"/>
  <c r="AO180" i="4"/>
  <c r="AO181" i="4"/>
  <c r="AO182" i="4"/>
  <c r="AO183" i="4"/>
  <c r="AO184" i="4"/>
  <c r="AO185" i="4"/>
  <c r="AO186" i="4"/>
  <c r="AO187" i="4"/>
  <c r="AO188" i="4"/>
  <c r="AO189" i="4"/>
  <c r="AO190" i="4"/>
  <c r="AO191" i="4"/>
  <c r="AO192" i="4"/>
  <c r="AO193" i="4"/>
  <c r="AO194" i="4"/>
  <c r="AO195" i="4"/>
  <c r="AO196" i="4"/>
  <c r="AO197" i="4"/>
  <c r="AO198" i="4"/>
  <c r="AO199" i="4"/>
  <c r="AO200" i="4"/>
  <c r="AO201" i="4"/>
  <c r="AO202" i="4"/>
  <c r="AO203" i="4"/>
  <c r="AO204" i="4"/>
  <c r="AO205" i="4"/>
  <c r="AO206" i="4"/>
  <c r="AO207" i="4"/>
  <c r="AO208" i="4"/>
  <c r="AO209" i="4"/>
  <c r="AO210" i="4"/>
  <c r="AO211" i="4"/>
  <c r="AO212" i="4"/>
  <c r="AO213" i="4"/>
  <c r="AO214" i="4"/>
  <c r="AO215" i="4"/>
  <c r="AO216" i="4"/>
  <c r="AO217" i="4"/>
  <c r="AO218" i="4"/>
  <c r="AO219" i="4"/>
  <c r="AO220" i="4"/>
  <c r="AO221" i="4"/>
  <c r="AO222" i="4"/>
  <c r="AO223" i="4"/>
  <c r="AO224" i="4"/>
  <c r="AO225" i="4"/>
  <c r="AO226" i="4"/>
  <c r="AO227" i="4"/>
  <c r="AO228" i="4"/>
  <c r="AO229" i="4"/>
  <c r="AO230" i="4"/>
  <c r="AO231" i="4"/>
  <c r="AO232" i="4"/>
  <c r="AO233" i="4"/>
  <c r="AO234" i="4"/>
  <c r="AO235" i="4"/>
  <c r="AO236" i="4"/>
  <c r="AO237" i="4"/>
  <c r="AO238" i="4"/>
  <c r="AO239" i="4"/>
  <c r="AO240" i="4"/>
  <c r="AO241" i="4"/>
  <c r="AO242" i="4"/>
  <c r="AO243" i="4"/>
  <c r="AO244" i="4"/>
  <c r="AO245" i="4"/>
  <c r="AO246" i="4"/>
  <c r="AO247" i="4"/>
  <c r="AO248" i="4"/>
  <c r="AO249" i="4"/>
  <c r="AO250" i="4"/>
  <c r="AO251" i="4"/>
  <c r="AO252" i="4"/>
  <c r="AO253" i="4"/>
  <c r="AO254" i="4"/>
  <c r="AO255" i="4"/>
  <c r="AO256" i="4"/>
  <c r="AO257" i="4"/>
  <c r="AO258" i="4"/>
  <c r="AO259" i="4"/>
  <c r="AO260" i="4"/>
  <c r="AO261" i="4"/>
  <c r="AO262" i="4"/>
  <c r="AO263" i="4"/>
  <c r="AO264" i="4"/>
  <c r="AO265" i="4"/>
  <c r="AO266" i="4"/>
  <c r="AO267" i="4"/>
  <c r="AO268" i="4"/>
  <c r="AO269" i="4"/>
  <c r="AO270" i="4"/>
  <c r="AO271" i="4"/>
  <c r="AO272" i="4"/>
  <c r="AO273" i="4"/>
  <c r="AO274" i="4"/>
  <c r="AO275" i="4"/>
  <c r="AO276" i="4"/>
  <c r="AP152" i="4"/>
  <c r="AP153" i="4"/>
  <c r="AP154" i="4"/>
  <c r="AP155" i="4"/>
  <c r="AP156" i="4"/>
  <c r="AP157" i="4"/>
  <c r="AP158" i="4"/>
  <c r="AP159" i="4"/>
  <c r="AP160" i="4"/>
  <c r="AP161" i="4"/>
  <c r="AP162" i="4"/>
  <c r="AP163" i="4"/>
  <c r="AP164" i="4"/>
  <c r="AP165" i="4"/>
  <c r="AP166" i="4"/>
  <c r="AP167" i="4"/>
  <c r="AP168" i="4"/>
  <c r="AP169" i="4"/>
  <c r="AP170" i="4"/>
  <c r="AP171" i="4"/>
  <c r="AP172" i="4"/>
  <c r="AP173" i="4"/>
  <c r="AP174" i="4"/>
  <c r="AP175" i="4"/>
  <c r="AP176" i="4"/>
  <c r="AP177" i="4"/>
  <c r="AP178" i="4"/>
  <c r="AP179" i="4"/>
  <c r="AP180" i="4"/>
  <c r="AP181" i="4"/>
  <c r="AP182" i="4"/>
  <c r="AP183" i="4"/>
  <c r="AP184" i="4"/>
  <c r="AP185" i="4"/>
  <c r="AP186" i="4"/>
  <c r="AP187" i="4"/>
  <c r="AP188" i="4"/>
  <c r="AP189" i="4"/>
  <c r="AP190" i="4"/>
  <c r="AP191" i="4"/>
  <c r="AP192" i="4"/>
  <c r="AP193" i="4"/>
  <c r="AP194" i="4"/>
  <c r="AP195" i="4"/>
  <c r="AP196" i="4"/>
  <c r="AP197" i="4"/>
  <c r="AP198" i="4"/>
  <c r="AP199" i="4"/>
  <c r="AP200" i="4"/>
  <c r="AP201" i="4"/>
  <c r="AP202" i="4"/>
  <c r="AP203" i="4"/>
  <c r="AP204" i="4"/>
  <c r="AP205" i="4"/>
  <c r="AP206" i="4"/>
  <c r="AP207" i="4"/>
  <c r="AP208" i="4"/>
  <c r="AP209" i="4"/>
  <c r="AP210" i="4"/>
  <c r="AP211" i="4"/>
  <c r="AP212" i="4"/>
  <c r="AP213" i="4"/>
  <c r="AP214" i="4"/>
  <c r="AP215" i="4"/>
  <c r="AP216" i="4"/>
  <c r="AP217" i="4"/>
  <c r="AP218" i="4"/>
  <c r="AP219" i="4"/>
  <c r="AP220" i="4"/>
  <c r="AP221" i="4"/>
  <c r="AP222" i="4"/>
  <c r="AP223" i="4"/>
  <c r="AP224" i="4"/>
  <c r="AP225" i="4"/>
  <c r="AP226" i="4"/>
  <c r="AP227" i="4"/>
  <c r="AP228" i="4"/>
  <c r="AP229" i="4"/>
  <c r="AP230" i="4"/>
  <c r="AP231" i="4"/>
  <c r="AP232" i="4"/>
  <c r="AP233" i="4"/>
  <c r="AP234" i="4"/>
  <c r="AP235" i="4"/>
  <c r="AP236" i="4"/>
  <c r="AP237" i="4"/>
  <c r="AP238" i="4"/>
  <c r="AP239" i="4"/>
  <c r="AP240" i="4"/>
  <c r="AP241" i="4"/>
  <c r="AP242" i="4"/>
  <c r="AP243" i="4"/>
  <c r="AP244" i="4"/>
  <c r="AP245" i="4"/>
  <c r="AP246" i="4"/>
  <c r="AP247" i="4"/>
  <c r="AP248" i="4"/>
  <c r="AP249" i="4"/>
  <c r="AP250" i="4"/>
  <c r="AP251" i="4"/>
  <c r="AP252" i="4"/>
  <c r="AP253" i="4"/>
  <c r="AP254" i="4"/>
  <c r="AP255" i="4"/>
  <c r="AP256" i="4"/>
  <c r="AP257" i="4"/>
  <c r="AP258" i="4"/>
  <c r="AP259" i="4"/>
  <c r="AP260" i="4"/>
  <c r="AP261" i="4"/>
  <c r="AP262" i="4"/>
  <c r="AP263" i="4"/>
  <c r="AP264" i="4"/>
  <c r="AP265" i="4"/>
  <c r="AP266" i="4"/>
  <c r="AP267" i="4"/>
  <c r="AP268" i="4"/>
  <c r="AP269" i="4"/>
  <c r="AP270" i="4"/>
  <c r="AP271" i="4"/>
  <c r="AP272" i="4"/>
  <c r="AP273" i="4"/>
  <c r="AP274" i="4"/>
  <c r="AP275" i="4"/>
  <c r="AP276" i="4"/>
  <c r="AP277" i="4"/>
  <c r="AQ152" i="4"/>
  <c r="AQ153" i="4"/>
  <c r="AQ154" i="4"/>
  <c r="AQ155" i="4"/>
  <c r="AQ156" i="4"/>
  <c r="AQ157" i="4"/>
  <c r="AQ158" i="4"/>
  <c r="AQ159" i="4"/>
  <c r="AQ160" i="4"/>
  <c r="AQ161" i="4"/>
  <c r="AQ162" i="4"/>
  <c r="AQ163" i="4"/>
  <c r="AQ164" i="4"/>
  <c r="AQ165" i="4"/>
  <c r="AQ166" i="4"/>
  <c r="AQ167" i="4"/>
  <c r="AQ168" i="4"/>
  <c r="AQ169" i="4"/>
  <c r="AQ170" i="4"/>
  <c r="AQ171" i="4"/>
  <c r="AQ172" i="4"/>
  <c r="AQ173" i="4"/>
  <c r="AQ174" i="4"/>
  <c r="AQ175" i="4"/>
  <c r="AQ176" i="4"/>
  <c r="AQ177" i="4"/>
  <c r="AQ178" i="4"/>
  <c r="AQ179" i="4"/>
  <c r="AQ180" i="4"/>
  <c r="AQ181" i="4"/>
  <c r="AQ182" i="4"/>
  <c r="AQ183" i="4"/>
  <c r="AQ184" i="4"/>
  <c r="AQ185" i="4"/>
  <c r="AQ186" i="4"/>
  <c r="AQ187" i="4"/>
  <c r="AQ188" i="4"/>
  <c r="AQ189" i="4"/>
  <c r="AQ190" i="4"/>
  <c r="AQ191" i="4"/>
  <c r="AQ192" i="4"/>
  <c r="AQ193" i="4"/>
  <c r="AQ194" i="4"/>
  <c r="AQ195" i="4"/>
  <c r="AQ196" i="4"/>
  <c r="AQ197" i="4"/>
  <c r="AQ198" i="4"/>
  <c r="AQ199" i="4"/>
  <c r="AQ200" i="4"/>
  <c r="AQ201" i="4"/>
  <c r="AQ202" i="4"/>
  <c r="AQ203" i="4"/>
  <c r="AQ204" i="4"/>
  <c r="AQ205" i="4"/>
  <c r="AQ206" i="4"/>
  <c r="AQ207" i="4"/>
  <c r="AQ208" i="4"/>
  <c r="AQ209" i="4"/>
  <c r="AQ210" i="4"/>
  <c r="AQ211" i="4"/>
  <c r="AQ212" i="4"/>
  <c r="AQ213" i="4"/>
  <c r="AQ214" i="4"/>
  <c r="AQ215" i="4"/>
  <c r="AQ216" i="4"/>
  <c r="AQ217" i="4"/>
  <c r="AQ218" i="4"/>
  <c r="AQ219" i="4"/>
  <c r="AQ220" i="4"/>
  <c r="AQ221" i="4"/>
  <c r="AQ222" i="4"/>
  <c r="AQ223" i="4"/>
  <c r="AQ224" i="4"/>
  <c r="AQ225" i="4"/>
  <c r="AQ226" i="4"/>
  <c r="AQ227" i="4"/>
  <c r="AQ228" i="4"/>
  <c r="AQ229" i="4"/>
  <c r="AQ230" i="4"/>
  <c r="AQ231" i="4"/>
  <c r="AQ232" i="4"/>
  <c r="AQ233" i="4"/>
  <c r="AQ234" i="4"/>
  <c r="AQ235" i="4"/>
  <c r="AQ236" i="4"/>
  <c r="AQ237" i="4"/>
  <c r="AQ238" i="4"/>
  <c r="AQ239" i="4"/>
  <c r="AQ240" i="4"/>
  <c r="AQ241" i="4"/>
  <c r="AQ242" i="4"/>
  <c r="AQ243" i="4"/>
  <c r="AQ244" i="4"/>
  <c r="AQ245" i="4"/>
  <c r="AQ246" i="4"/>
  <c r="AQ247" i="4"/>
  <c r="AQ248" i="4"/>
  <c r="AQ249" i="4"/>
  <c r="AQ250" i="4"/>
  <c r="AQ251" i="4"/>
  <c r="AQ252" i="4"/>
  <c r="AQ253" i="4"/>
  <c r="AQ254" i="4"/>
  <c r="AQ255" i="4"/>
  <c r="AQ256" i="4"/>
  <c r="AQ257" i="4"/>
  <c r="AQ258" i="4"/>
  <c r="AQ259" i="4"/>
  <c r="AQ260" i="4"/>
  <c r="AQ261" i="4"/>
  <c r="AQ262" i="4"/>
  <c r="AQ263" i="4"/>
  <c r="AQ264" i="4"/>
  <c r="AQ265" i="4"/>
  <c r="AQ266" i="4"/>
  <c r="AQ267" i="4"/>
  <c r="AQ268" i="4"/>
  <c r="AQ269" i="4"/>
  <c r="AQ270" i="4"/>
  <c r="AQ271" i="4"/>
  <c r="AQ272" i="4"/>
  <c r="AQ273" i="4"/>
  <c r="AQ274" i="4"/>
  <c r="AQ275" i="4"/>
  <c r="AQ276" i="4"/>
  <c r="AQ277" i="4"/>
  <c r="AP151" i="4"/>
  <c r="AZ432" i="4"/>
  <c r="AZ291" i="4"/>
  <c r="BP143" i="7"/>
  <c r="H285" i="1" s="1"/>
  <c r="BO143" i="7"/>
  <c r="G285" i="1" s="1"/>
  <c r="BN143" i="7"/>
  <c r="F285" i="1" s="1"/>
  <c r="BM143" i="7"/>
  <c r="E285" i="1" s="1"/>
  <c r="AP11" i="11"/>
  <c r="CU6" i="6"/>
  <c r="CU7" i="6" s="1"/>
  <c r="CU8" i="6" s="1"/>
  <c r="N147" i="1" s="1"/>
  <c r="CC144" i="6"/>
  <c r="F145" i="1" s="1"/>
  <c r="CD144" i="6"/>
  <c r="G145" i="1" s="1"/>
  <c r="BA8" i="6"/>
  <c r="AF143" i="6"/>
  <c r="G129" i="1" s="1"/>
  <c r="E8" i="6"/>
  <c r="E7" i="6"/>
  <c r="E6" i="6"/>
  <c r="AV6" i="6"/>
  <c r="AN297" i="4"/>
  <c r="AN433" i="4"/>
  <c r="AN434" i="4"/>
  <c r="AN435" i="4"/>
  <c r="AN436" i="4"/>
  <c r="AN437" i="4"/>
  <c r="AN438" i="4"/>
  <c r="AN439" i="4"/>
  <c r="AN440" i="4"/>
  <c r="AN441" i="4"/>
  <c r="AN442" i="4"/>
  <c r="AN443" i="4"/>
  <c r="AN444" i="4"/>
  <c r="AN445" i="4"/>
  <c r="AN446" i="4"/>
  <c r="AN447" i="4"/>
  <c r="AN448" i="4"/>
  <c r="AN449" i="4"/>
  <c r="AN450" i="4"/>
  <c r="AN451" i="4"/>
  <c r="AN452" i="4"/>
  <c r="AN453" i="4"/>
  <c r="AN454" i="4"/>
  <c r="AN455" i="4"/>
  <c r="AN456" i="4"/>
  <c r="AN457" i="4"/>
  <c r="AN458" i="4"/>
  <c r="AN459" i="4"/>
  <c r="AN460" i="4"/>
  <c r="AN461" i="4"/>
  <c r="AN462" i="4"/>
  <c r="AN463" i="4"/>
  <c r="AN464" i="4"/>
  <c r="AN465" i="4"/>
  <c r="AN466" i="4"/>
  <c r="AN467" i="4"/>
  <c r="AN468" i="4"/>
  <c r="AN469" i="4"/>
  <c r="AN470" i="4"/>
  <c r="AN471" i="4"/>
  <c r="AN472" i="4"/>
  <c r="AN473" i="4"/>
  <c r="AN474" i="4"/>
  <c r="AN475" i="4"/>
  <c r="AN476" i="4"/>
  <c r="AN477" i="4"/>
  <c r="AN478" i="4"/>
  <c r="AN479" i="4"/>
  <c r="AN480" i="4"/>
  <c r="AN481" i="4"/>
  <c r="AN482" i="4"/>
  <c r="AN483" i="4"/>
  <c r="AN484" i="4"/>
  <c r="AN485" i="4"/>
  <c r="AN486" i="4"/>
  <c r="AN487" i="4"/>
  <c r="AN488" i="4"/>
  <c r="AN489" i="4"/>
  <c r="AN490" i="4"/>
  <c r="AN491" i="4"/>
  <c r="AN492" i="4"/>
  <c r="AN493" i="4"/>
  <c r="AN494" i="4"/>
  <c r="AN495" i="4"/>
  <c r="AN496" i="4"/>
  <c r="AN497" i="4"/>
  <c r="AN498" i="4"/>
  <c r="AN499" i="4"/>
  <c r="AN500" i="4"/>
  <c r="AN501" i="4"/>
  <c r="AN502" i="4"/>
  <c r="AN503" i="4"/>
  <c r="AN504" i="4"/>
  <c r="AN505" i="4"/>
  <c r="AN506" i="4"/>
  <c r="AN507" i="4"/>
  <c r="AN508" i="4"/>
  <c r="AN509" i="4"/>
  <c r="AN510" i="4"/>
  <c r="AN511" i="4"/>
  <c r="AN512" i="4"/>
  <c r="AN513" i="4"/>
  <c r="AN514" i="4"/>
  <c r="AN515" i="4"/>
  <c r="AN516" i="4"/>
  <c r="AN517" i="4"/>
  <c r="AN518" i="4"/>
  <c r="AN519" i="4"/>
  <c r="AN520" i="4"/>
  <c r="AN521" i="4"/>
  <c r="AN522" i="4"/>
  <c r="AN523" i="4"/>
  <c r="AN524" i="4"/>
  <c r="AN525" i="4"/>
  <c r="AN526" i="4"/>
  <c r="AN527" i="4"/>
  <c r="AN528" i="4"/>
  <c r="AN529" i="4"/>
  <c r="AN530" i="4"/>
  <c r="AN531" i="4"/>
  <c r="AN532" i="4"/>
  <c r="AN533" i="4"/>
  <c r="AN534" i="4"/>
  <c r="AN535" i="4"/>
  <c r="AN536" i="4"/>
  <c r="AN537" i="4"/>
  <c r="AN538" i="4"/>
  <c r="AN539" i="4"/>
  <c r="AN540" i="4"/>
  <c r="AN541" i="4"/>
  <c r="AN542" i="4"/>
  <c r="AN543" i="4"/>
  <c r="AN544" i="4"/>
  <c r="AN545" i="4"/>
  <c r="AN546" i="4"/>
  <c r="AN547" i="4"/>
  <c r="AN548" i="4"/>
  <c r="AN549" i="4"/>
  <c r="AN550" i="4"/>
  <c r="AN551" i="4"/>
  <c r="AN552" i="4"/>
  <c r="AN553" i="4"/>
  <c r="AN554" i="4"/>
  <c r="AN555" i="4"/>
  <c r="AN556" i="4"/>
  <c r="AN557" i="4"/>
  <c r="AN558" i="4"/>
  <c r="AN559" i="4"/>
  <c r="AN335" i="4"/>
  <c r="AN415" i="4"/>
  <c r="AN414" i="4"/>
  <c r="AN413" i="4"/>
  <c r="AN412" i="4"/>
  <c r="AN410" i="4"/>
  <c r="AN354" i="4"/>
  <c r="AN293" i="4"/>
  <c r="AN294" i="4"/>
  <c r="AN295" i="4"/>
  <c r="AN296" i="4"/>
  <c r="AN298" i="4"/>
  <c r="AN299" i="4"/>
  <c r="AN300" i="4"/>
  <c r="AN301" i="4"/>
  <c r="AN302" i="4"/>
  <c r="AN303" i="4"/>
  <c r="AN304" i="4"/>
  <c r="AN305" i="4"/>
  <c r="AN306" i="4"/>
  <c r="AN307" i="4"/>
  <c r="AN308" i="4"/>
  <c r="AN309" i="4"/>
  <c r="AN310" i="4"/>
  <c r="AN311" i="4"/>
  <c r="AN312" i="4"/>
  <c r="AN313" i="4"/>
  <c r="AN314" i="4"/>
  <c r="AN315" i="4"/>
  <c r="AN316" i="4"/>
  <c r="AN317" i="4"/>
  <c r="AN318" i="4"/>
  <c r="AN319" i="4"/>
  <c r="AN320" i="4"/>
  <c r="AN321" i="4"/>
  <c r="AN322" i="4"/>
  <c r="AN323" i="4"/>
  <c r="AN324" i="4"/>
  <c r="AN325" i="4"/>
  <c r="AN326" i="4"/>
  <c r="AN327" i="4"/>
  <c r="AN328" i="4"/>
  <c r="AN329" i="4"/>
  <c r="AN330" i="4"/>
  <c r="AN331" i="4"/>
  <c r="AN332" i="4"/>
  <c r="AN333" i="4"/>
  <c r="AN334" i="4"/>
  <c r="AN336" i="4"/>
  <c r="AN337" i="4"/>
  <c r="AN338" i="4"/>
  <c r="AN339" i="4"/>
  <c r="AN340" i="4"/>
  <c r="AN341" i="4"/>
  <c r="AN342" i="4"/>
  <c r="AN343" i="4"/>
  <c r="AN344" i="4"/>
  <c r="AN345" i="4"/>
  <c r="AN346" i="4"/>
  <c r="AN347" i="4"/>
  <c r="AN348" i="4"/>
  <c r="AN349" i="4"/>
  <c r="AN350" i="4"/>
  <c r="AN351" i="4"/>
  <c r="AN352" i="4"/>
  <c r="AN353" i="4"/>
  <c r="AN355" i="4"/>
  <c r="AN356" i="4"/>
  <c r="AN357" i="4"/>
  <c r="AN358" i="4"/>
  <c r="AN359" i="4"/>
  <c r="AN360" i="4"/>
  <c r="AN361" i="4"/>
  <c r="AN362" i="4"/>
  <c r="AN363" i="4"/>
  <c r="AN364" i="4"/>
  <c r="AN365" i="4"/>
  <c r="AN366" i="4"/>
  <c r="AN367" i="4"/>
  <c r="AN368" i="4"/>
  <c r="AN369" i="4"/>
  <c r="AN370" i="4"/>
  <c r="AN371" i="4"/>
  <c r="AN372" i="4"/>
  <c r="AN373" i="4"/>
  <c r="AN374" i="4"/>
  <c r="AN375" i="4"/>
  <c r="AN376" i="4"/>
  <c r="AN377" i="4"/>
  <c r="AN378" i="4"/>
  <c r="AN379" i="4"/>
  <c r="AN380" i="4"/>
  <c r="AN381" i="4"/>
  <c r="AN382" i="4"/>
  <c r="AN383" i="4"/>
  <c r="AN384" i="4"/>
  <c r="AN385" i="4"/>
  <c r="AN386" i="4"/>
  <c r="AN387" i="4"/>
  <c r="AN388" i="4"/>
  <c r="AN389" i="4"/>
  <c r="AN390" i="4"/>
  <c r="AN391" i="4"/>
  <c r="AN392" i="4"/>
  <c r="AN393" i="4"/>
  <c r="AN394" i="4"/>
  <c r="AN395" i="4"/>
  <c r="AN396" i="4"/>
  <c r="AN397" i="4"/>
  <c r="AN398" i="4"/>
  <c r="AN399" i="4"/>
  <c r="AN400" i="4"/>
  <c r="AN401" i="4"/>
  <c r="AN402" i="4"/>
  <c r="AN403" i="4"/>
  <c r="AN404" i="4"/>
  <c r="AN405" i="4"/>
  <c r="AN406" i="4"/>
  <c r="AN407" i="4"/>
  <c r="AN408" i="4"/>
  <c r="AN409" i="4"/>
  <c r="AN411" i="4"/>
  <c r="AN416" i="4"/>
  <c r="AN417" i="4"/>
  <c r="AN418" i="4"/>
  <c r="BM8" i="12"/>
  <c r="BN8" i="12" s="1"/>
  <c r="BO8" i="12" s="1"/>
  <c r="BM7" i="12"/>
  <c r="BN7" i="12" s="1"/>
  <c r="BO7" i="12" s="1"/>
  <c r="BM6" i="12"/>
  <c r="BN6" i="12" s="1"/>
  <c r="BO6" i="12" s="1"/>
  <c r="R3" i="12"/>
  <c r="S3" i="12" s="1"/>
  <c r="T3" i="12" s="1"/>
  <c r="R5" i="12"/>
  <c r="S5" i="12" s="1"/>
  <c r="T5" i="12" s="1"/>
  <c r="R4" i="12"/>
  <c r="S4" i="12" s="1"/>
  <c r="T4" i="12" s="1"/>
  <c r="I6" i="12"/>
  <c r="I5" i="12"/>
  <c r="H5" i="12"/>
  <c r="G6" i="12"/>
  <c r="G5" i="12"/>
  <c r="AI6" i="3"/>
  <c r="AI5" i="3"/>
  <c r="AP143" i="6"/>
  <c r="Q253" i="1"/>
  <c r="Q254" i="1"/>
  <c r="Q257" i="1"/>
  <c r="Q259" i="1"/>
  <c r="Q92" i="1"/>
  <c r="Q91" i="1"/>
  <c r="Q258" i="1"/>
  <c r="BR143" i="7"/>
  <c r="J285" i="1" s="1"/>
  <c r="BS143" i="7"/>
  <c r="K285" i="1" s="1"/>
  <c r="L285" i="1"/>
  <c r="BU143" i="7"/>
  <c r="M285" i="1" s="1"/>
  <c r="BV143" i="7"/>
  <c r="N285" i="1" s="1"/>
  <c r="BW143" i="7"/>
  <c r="O285" i="1" s="1"/>
  <c r="BX143" i="7"/>
  <c r="P285" i="1" s="1"/>
  <c r="BY143" i="7"/>
  <c r="D285" i="1"/>
  <c r="Q276" i="1"/>
  <c r="Q277" i="1"/>
  <c r="Q278" i="1"/>
  <c r="Q281" i="1"/>
  <c r="Q282" i="1"/>
  <c r="Q283" i="1"/>
  <c r="Q264" i="1"/>
  <c r="Q265" i="1"/>
  <c r="Q266" i="1"/>
  <c r="Q269" i="1"/>
  <c r="Q270" i="1"/>
  <c r="Q271" i="1"/>
  <c r="Q240" i="1"/>
  <c r="Q241" i="1"/>
  <c r="Q242" i="1"/>
  <c r="Q245" i="1"/>
  <c r="Q246" i="1"/>
  <c r="AP8" i="11"/>
  <c r="AP9" i="11"/>
  <c r="AP10" i="11"/>
  <c r="AP12" i="11"/>
  <c r="AP13" i="11"/>
  <c r="AP14" i="11"/>
  <c r="AP15" i="11"/>
  <c r="AP16" i="11"/>
  <c r="AP17" i="11"/>
  <c r="AP18" i="11"/>
  <c r="AP19" i="11"/>
  <c r="AP20" i="11"/>
  <c r="AP7" i="11"/>
  <c r="AP6" i="11"/>
  <c r="E8" i="11"/>
  <c r="E14" i="11"/>
  <c r="E15" i="11"/>
  <c r="E16" i="11"/>
  <c r="E17" i="11"/>
  <c r="E18" i="11"/>
  <c r="E19" i="11"/>
  <c r="E20" i="11"/>
  <c r="Q216" i="1"/>
  <c r="Q217" i="1"/>
  <c r="Q218" i="1"/>
  <c r="Q221" i="1"/>
  <c r="Q222" i="1"/>
  <c r="Q223" i="1"/>
  <c r="Q247" i="1"/>
  <c r="AP20" i="10"/>
  <c r="AP8" i="10"/>
  <c r="AP9" i="10"/>
  <c r="AP10" i="10"/>
  <c r="AP11" i="10"/>
  <c r="AP12" i="10"/>
  <c r="AP13" i="10"/>
  <c r="AP14" i="10"/>
  <c r="AP15" i="10"/>
  <c r="AP16" i="10"/>
  <c r="AP17" i="10"/>
  <c r="AP18" i="10"/>
  <c r="AP19" i="10"/>
  <c r="AP7" i="10"/>
  <c r="AP6" i="10"/>
  <c r="E8" i="10"/>
  <c r="E9" i="10"/>
  <c r="E10" i="10"/>
  <c r="E11" i="10"/>
  <c r="E12" i="10"/>
  <c r="E13" i="10"/>
  <c r="E14" i="10"/>
  <c r="E15" i="10"/>
  <c r="E16" i="10"/>
  <c r="E17" i="10"/>
  <c r="E18" i="10"/>
  <c r="E19" i="10"/>
  <c r="E20" i="10"/>
  <c r="E7" i="10"/>
  <c r="E6" i="10"/>
  <c r="Q192" i="1"/>
  <c r="Q193" i="1"/>
  <c r="Q194" i="1"/>
  <c r="Q197" i="1"/>
  <c r="Q198" i="1"/>
  <c r="Q199" i="1"/>
  <c r="AQ20" i="8"/>
  <c r="AQ10" i="8"/>
  <c r="AQ11" i="8"/>
  <c r="AQ12" i="8"/>
  <c r="AQ13" i="8"/>
  <c r="AQ14" i="8"/>
  <c r="AQ15" i="8"/>
  <c r="AQ16" i="8"/>
  <c r="AQ17" i="8"/>
  <c r="AQ18" i="8"/>
  <c r="AQ19" i="8"/>
  <c r="AQ7" i="8"/>
  <c r="AQ6" i="8"/>
  <c r="AQ9" i="8"/>
  <c r="AQ8" i="8"/>
  <c r="Q180" i="1"/>
  <c r="Q181" i="1"/>
  <c r="Q182" i="1"/>
  <c r="Q185" i="1"/>
  <c r="Q186" i="1"/>
  <c r="Q187" i="1"/>
  <c r="F9" i="8"/>
  <c r="F7" i="8"/>
  <c r="F8" i="8"/>
  <c r="F10" i="8"/>
  <c r="F11" i="8"/>
  <c r="F12" i="8"/>
  <c r="F13" i="8"/>
  <c r="F14" i="8"/>
  <c r="F15" i="8"/>
  <c r="F16" i="8"/>
  <c r="F17" i="8"/>
  <c r="F18" i="8"/>
  <c r="F19" i="8"/>
  <c r="F20" i="8"/>
  <c r="CN144" i="6"/>
  <c r="Q145" i="1"/>
  <c r="CM144" i="6"/>
  <c r="P145" i="1" s="1"/>
  <c r="CL144" i="6"/>
  <c r="O145" i="1" s="1"/>
  <c r="CK144" i="6"/>
  <c r="N145" i="1" s="1"/>
  <c r="CJ144" i="6"/>
  <c r="M145" i="1" s="1"/>
  <c r="CI144" i="6"/>
  <c r="L145" i="1" s="1"/>
  <c r="CH144" i="6"/>
  <c r="K145" i="1" s="1"/>
  <c r="CG144" i="6"/>
  <c r="J145" i="1" s="1"/>
  <c r="CE144" i="6"/>
  <c r="H145" i="1" s="1"/>
  <c r="E145" i="1"/>
  <c r="Q136" i="1"/>
  <c r="Q137" i="1"/>
  <c r="Q138" i="1"/>
  <c r="Q141" i="1"/>
  <c r="Q142" i="1"/>
  <c r="Q143" i="1"/>
  <c r="BA20" i="6"/>
  <c r="BA9" i="6"/>
  <c r="BA10" i="6"/>
  <c r="BA11" i="6"/>
  <c r="BA12" i="6"/>
  <c r="BA13" i="6"/>
  <c r="BA14" i="6"/>
  <c r="BA15" i="6"/>
  <c r="BA16" i="6"/>
  <c r="BA17" i="6"/>
  <c r="BA18" i="6"/>
  <c r="BA19" i="6"/>
  <c r="BA7" i="6"/>
  <c r="BA6" i="6"/>
  <c r="E129" i="1"/>
  <c r="Q127" i="1"/>
  <c r="Q126" i="1"/>
  <c r="Q125" i="1"/>
  <c r="Q122" i="1"/>
  <c r="Q121" i="1"/>
  <c r="Q120" i="1"/>
  <c r="E9" i="6"/>
  <c r="E10" i="6"/>
  <c r="E11" i="6"/>
  <c r="E12" i="6"/>
  <c r="E13" i="6"/>
  <c r="E14" i="6"/>
  <c r="E15" i="6"/>
  <c r="E16" i="6"/>
  <c r="E17" i="6"/>
  <c r="E18" i="6"/>
  <c r="E19" i="6"/>
  <c r="E20" i="6"/>
  <c r="Q73" i="1"/>
  <c r="Q72" i="1"/>
  <c r="Q68" i="1"/>
  <c r="Q69" i="1"/>
  <c r="Q67" i="1"/>
  <c r="F20" i="4"/>
  <c r="F7" i="4"/>
  <c r="F8" i="4"/>
  <c r="F9" i="4"/>
  <c r="F10" i="4"/>
  <c r="F11" i="4"/>
  <c r="F13" i="4"/>
  <c r="F14" i="4"/>
  <c r="F15" i="4"/>
  <c r="F16" i="4"/>
  <c r="F17" i="4"/>
  <c r="F18" i="4"/>
  <c r="F19" i="4"/>
  <c r="F6" i="4"/>
  <c r="Q59" i="1"/>
  <c r="Q57" i="1"/>
  <c r="Q54" i="1"/>
  <c r="Q53" i="1"/>
  <c r="Q52" i="1"/>
  <c r="Q44" i="1"/>
  <c r="Q43" i="1"/>
  <c r="Q40" i="1"/>
  <c r="Q39" i="1"/>
  <c r="Q38" i="1"/>
  <c r="Q45" i="1"/>
  <c r="Q31" i="1"/>
  <c r="Q30" i="1"/>
  <c r="Q29" i="1"/>
  <c r="Q26" i="1"/>
  <c r="Q25" i="1"/>
  <c r="Q24" i="1"/>
  <c r="Q113" i="1"/>
  <c r="Q102" i="1"/>
  <c r="Q115" i="1"/>
  <c r="Q104" i="1"/>
  <c r="Q97" i="1"/>
  <c r="Q108" i="1"/>
  <c r="Q109" i="1"/>
  <c r="Q98" i="1"/>
  <c r="Q99" i="1"/>
  <c r="Q110" i="1"/>
  <c r="Q114" i="1"/>
  <c r="Q103" i="1"/>
  <c r="Q74" i="1"/>
  <c r="Q58" i="1"/>
  <c r="G19" i="12"/>
  <c r="H19" i="12"/>
  <c r="I19" i="12"/>
  <c r="I8" i="12"/>
  <c r="I7" i="12"/>
  <c r="I9" i="12"/>
  <c r="I10" i="12"/>
  <c r="I11" i="12"/>
  <c r="I12" i="12"/>
  <c r="I13" i="12"/>
  <c r="I14" i="12"/>
  <c r="I15" i="12"/>
  <c r="I16" i="12"/>
  <c r="I17" i="12"/>
  <c r="I18" i="12"/>
  <c r="H12" i="12"/>
  <c r="H10" i="12"/>
  <c r="H9" i="12"/>
  <c r="H8" i="12"/>
  <c r="H7" i="12"/>
  <c r="H11" i="12"/>
  <c r="H13" i="12"/>
  <c r="H14" i="12"/>
  <c r="H15" i="12"/>
  <c r="H16" i="12"/>
  <c r="H17" i="12"/>
  <c r="H18" i="12"/>
  <c r="H6" i="12"/>
  <c r="G8" i="12"/>
  <c r="G7" i="12"/>
  <c r="G9" i="12"/>
  <c r="G10" i="12"/>
  <c r="G11" i="12"/>
  <c r="G12" i="12"/>
  <c r="G13" i="12"/>
  <c r="G14" i="12"/>
  <c r="G15" i="12"/>
  <c r="G16" i="12"/>
  <c r="G17" i="12"/>
  <c r="G18" i="12"/>
  <c r="Q13" i="1"/>
  <c r="Q15" i="1"/>
  <c r="Q14" i="1"/>
  <c r="Q10" i="1"/>
  <c r="Q90" i="1"/>
  <c r="Q87" i="1"/>
  <c r="Q86" i="1"/>
  <c r="Q85" i="1"/>
  <c r="N61" i="1" l="1"/>
  <c r="AI7" i="3"/>
  <c r="J180" i="1"/>
  <c r="J204" i="1"/>
  <c r="AM291" i="4"/>
  <c r="D78" i="1" s="1"/>
  <c r="D180" i="1"/>
  <c r="I180" i="1"/>
  <c r="I204" i="1"/>
  <c r="AN291" i="4"/>
  <c r="E78" i="1" s="1"/>
  <c r="AO150" i="4"/>
  <c r="F76" i="1" s="1"/>
  <c r="AY150" i="4"/>
  <c r="P76" i="1" s="1"/>
  <c r="P180" i="1"/>
  <c r="H180" i="1"/>
  <c r="P204" i="1"/>
  <c r="H204" i="1"/>
  <c r="AM150" i="4"/>
  <c r="D76" i="1" s="1"/>
  <c r="O180" i="1"/>
  <c r="G180" i="1"/>
  <c r="O204" i="1"/>
  <c r="G204" i="1"/>
  <c r="E80" i="1"/>
  <c r="AN150" i="4"/>
  <c r="E76" i="1" s="1"/>
  <c r="N180" i="1"/>
  <c r="F180" i="1"/>
  <c r="D204" i="1"/>
  <c r="N204" i="1"/>
  <c r="F204" i="1"/>
  <c r="M180" i="1"/>
  <c r="E180" i="1"/>
  <c r="M204" i="1"/>
  <c r="E204" i="1"/>
  <c r="L180" i="1"/>
  <c r="L204" i="1"/>
  <c r="K180" i="1"/>
  <c r="K204" i="1"/>
  <c r="D80" i="1"/>
  <c r="K67" i="1"/>
  <c r="K85" i="1"/>
  <c r="L108" i="1"/>
  <c r="J97" i="1"/>
  <c r="L120" i="1"/>
  <c r="L136" i="1"/>
  <c r="M136" i="1"/>
  <c r="J67" i="1"/>
  <c r="J85" i="1"/>
  <c r="K108" i="1"/>
  <c r="D97" i="1"/>
  <c r="I97" i="1"/>
  <c r="K120" i="1"/>
  <c r="K136" i="1"/>
  <c r="I67" i="1"/>
  <c r="I85" i="1"/>
  <c r="J108" i="1"/>
  <c r="P97" i="1"/>
  <c r="H97" i="1"/>
  <c r="J120" i="1"/>
  <c r="J136" i="1"/>
  <c r="D136" i="1"/>
  <c r="M24" i="1"/>
  <c r="E24" i="1"/>
  <c r="K24" i="1"/>
  <c r="J24" i="1"/>
  <c r="G97" i="1"/>
  <c r="I120" i="1"/>
  <c r="I136" i="1"/>
  <c r="O67" i="1"/>
  <c r="G67" i="1"/>
  <c r="P85" i="1"/>
  <c r="G85" i="1"/>
  <c r="P108" i="1"/>
  <c r="H108" i="1"/>
  <c r="N97" i="1"/>
  <c r="F97" i="1"/>
  <c r="D120" i="1"/>
  <c r="H120" i="1"/>
  <c r="H136" i="1"/>
  <c r="D67" i="1"/>
  <c r="H67" i="1"/>
  <c r="D85" i="1"/>
  <c r="H85" i="1"/>
  <c r="D108" i="1"/>
  <c r="I108" i="1"/>
  <c r="O97" i="1"/>
  <c r="I24" i="1"/>
  <c r="P24" i="1"/>
  <c r="H24" i="1"/>
  <c r="N67" i="1"/>
  <c r="F67" i="1"/>
  <c r="N85" i="1"/>
  <c r="F85" i="1"/>
  <c r="O108" i="1"/>
  <c r="G108" i="1"/>
  <c r="M97" i="1"/>
  <c r="E97" i="1"/>
  <c r="P120" i="1"/>
  <c r="G120" i="1"/>
  <c r="P136" i="1"/>
  <c r="G136" i="1"/>
  <c r="M67" i="1"/>
  <c r="E67" i="1"/>
  <c r="M85" i="1"/>
  <c r="E85" i="1"/>
  <c r="N108" i="1"/>
  <c r="F108" i="1"/>
  <c r="L97" i="1"/>
  <c r="N120" i="1"/>
  <c r="F120" i="1"/>
  <c r="O136" i="1"/>
  <c r="F136" i="1"/>
  <c r="L24" i="1"/>
  <c r="O24" i="1"/>
  <c r="G24" i="1"/>
  <c r="N24" i="1"/>
  <c r="F24" i="1"/>
  <c r="L67" i="1"/>
  <c r="P67" i="1"/>
  <c r="L85" i="1"/>
  <c r="O85" i="1"/>
  <c r="M108" i="1"/>
  <c r="E108" i="1"/>
  <c r="K97" i="1"/>
  <c r="M120" i="1"/>
  <c r="E120" i="1"/>
  <c r="N136" i="1"/>
  <c r="E136" i="1"/>
  <c r="AY291" i="4"/>
  <c r="P78" i="1" s="1"/>
  <c r="AX291" i="4"/>
  <c r="O78" i="1" s="1"/>
  <c r="AX150" i="4"/>
  <c r="O76" i="1" s="1"/>
  <c r="AW291" i="4"/>
  <c r="N78" i="1" s="1"/>
  <c r="AW150" i="4"/>
  <c r="N76" i="1" s="1"/>
  <c r="AV291" i="4"/>
  <c r="M78" i="1" s="1"/>
  <c r="AV150" i="4"/>
  <c r="M76" i="1" s="1"/>
  <c r="AT150" i="4"/>
  <c r="K76" i="1" s="1"/>
  <c r="N19" i="1"/>
  <c r="L76" i="1"/>
  <c r="AU291" i="4"/>
  <c r="L78" i="1" s="1"/>
  <c r="AS291" i="4"/>
  <c r="J78" i="1" s="1"/>
  <c r="AT291" i="4"/>
  <c r="K78" i="1" s="1"/>
  <c r="AS150" i="4"/>
  <c r="J76" i="1" s="1"/>
  <c r="AP150" i="4"/>
  <c r="G76" i="1" s="1"/>
  <c r="AQ150" i="4"/>
  <c r="H76" i="1" s="1"/>
  <c r="AO291" i="4"/>
  <c r="F78" i="1" s="1"/>
  <c r="AP291" i="4"/>
  <c r="G78" i="1" s="1"/>
  <c r="AQ291" i="4"/>
  <c r="H78" i="1" s="1"/>
  <c r="G80" i="1"/>
  <c r="F80" i="1"/>
  <c r="H80" i="1"/>
  <c r="AV7" i="6"/>
  <c r="AV8" i="6" s="1"/>
  <c r="N131" i="1" s="1"/>
  <c r="AR150" i="4"/>
  <c r="I76" i="1" s="1"/>
  <c r="AR291" i="4"/>
  <c r="I78" i="1" s="1"/>
  <c r="I80" i="1"/>
  <c r="N17"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7C114AF-EB96-4567-AF7A-6973E4336527}" name="Connection" type="104" refreshedVersion="0" background="1">
    <extLst>
      <ext xmlns:x15="http://schemas.microsoft.com/office/spreadsheetml/2010/11/main" uri="{DE250136-89BD-433C-8126-D09CA5730AF9}">
        <x15:connection id="Winter bed occ over 14 days"/>
      </ext>
    </extLst>
  </connection>
  <connection id="2" xr16:uid="{B69F3CF8-5872-4CFD-B44A-FADED875466A}" name="e-base.nhsproviders.org" type="100" refreshedVersion="6">
    <extLst>
      <ext xmlns:x15="http://schemas.microsoft.com/office/spreadsheetml/2010/11/main" uri="{DE250136-89BD-433C-8126-D09CA5730AF9}">
        <x15:connection id="25cfafcb-a980-4142-878c-1dad5957934c"/>
      </ext>
    </extLst>
  </connection>
  <connection id="3" xr16:uid="{1B4B05EC-53ED-4A14-A81B-3073E7F6A1B1}" keepAlive="1" name="ModelConnection_ExternalData_1" description="Data Model" type="5" refreshedVersion="6" minRefreshableVersion="5" saveData="1">
    <dbPr connection="Data Model Connection" command="DRILLTHROUGH MAXROWS 1000 SELECT FROM [Model] WHERE (([Winter daily sitreps].[Year].&amp;[2020/21],[Measures].[Sum of Adult CC beds avail],[Winter daily sitreps].[Week long].&amp;[Week 7])) RETURN [$Winter daily sitreps].[ID],[$Winter daily sitreps].[cri_id],[$Winter daily sitreps].[dr_id],[$Winter daily sitreps].[org_id],[$Winter daily sitreps].[cri_dataperiodstart],[$Winter daily sitreps].[Code],[$Winter daily sitreps].[Name],[$Winter daily sitreps].[Date],[$Winter daily sitreps].[Week],[$Winter daily sitreps].[Day],[$Winter daily sitreps].[Bank holiday],[$Winter daily sitreps].[AE closures],[$Winter daily sitreps].[AE diverts],[$Winter daily sitreps].[AE type 1 attendances],[$Winter daily sitreps].[AE type 2 attendances],[$Winter daily sitreps].[AE type 3 attendances],[$Winter daily sitreps].[AE total attendances],[$Winter daily sitreps].[Emergency admissions],[$Winter daily sitreps].[GA core beds avail],[$Winter daily sitreps].[GA escalation beds avail],[$Winter daily sitreps].[GA total beds avail],[$Winter daily sitreps].[GA total beds occupied],[$Winter daily sitreps].[Beds closed norovirus],[$Winter daily sitreps].[Beds closed norovius unocc],[$Winter daily sitreps].[Adult CC beds avail],[$Winter daily sitreps].[Adult CC beds occ],[$Winter daily sitreps].[Paed Int Care Avail],[$Winter daily sitreps].[Paed Int Care Occ],[$Winter daily sitreps].[Neo Int Care Avail],[$Winter daily sitreps].[Neo Int Care occ],[$Winter daily sitreps].[OPEL 3 or above],[$Winter daily sitreps].[Weekend],[$Winter daily sitreps].[Region],[$Winter daily sitreps].[Year],[$Winter daily sitreps].[Beds occ over 7 days],[$Winter daily sitreps].[Beds occ over 21 days],[$Winter daily sitreps].[Amb arrivals],[$Winter daily sitreps].[Amb delays 30-60 mins],[$Winter daily sitreps].[Amb delays over 60 mins],[$Winter daily sitreps].[Week long],[$Winter daily sitreps].[GA bed occupancy],[$Winter daily sitreps].[Beds occ over 14 days]" commandType="4"/>
    <extLst>
      <ext xmlns:x15="http://schemas.microsoft.com/office/spreadsheetml/2010/11/main" uri="{DE250136-89BD-433C-8126-D09CA5730AF9}">
        <x15:connection id="" model="1"/>
      </ext>
    </extLst>
  </connection>
  <connection id="4" xr16:uid="{00000000-0015-0000-FFFF-FFFF00000000}" keepAlive="1" name="ThisWorkbookDataModel" description="This connection is used by Excel for communication between the workbook and embedded PowerPivot data, and should not be manually edited or deleted."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xmlns:xda="http://schemas.microsoft.com/office/spreadsheetml/2017/dynamicarray">
  <metadataTypes count="2">
    <metadataType name="XLMDX"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metadataStrings count="2">
    <s v="ThisWorkbookDataModel"/>
    <s v="{[Winter daily sitreps].[Year].&amp;[2020/21]}"/>
  </metadataStrings>
  <mdxMetadata count="1">
    <mdx n="0" f="s">
      <ms ns="1" c="0"/>
    </mdx>
  </mdxMetadata>
  <futureMetadata name="XLDAPR" count="1">
    <bk>
      <extLst>
        <ext uri="{bdbb8cdc-fa1e-496e-a857-3c3f30c029c3}">
          <xda:dynamicArrayProperties fDynamic="1" fCollapsed="0"/>
        </ext>
      </extLst>
    </bk>
  </futureMetadata>
  <cellMetadata count="1">
    <bk>
      <rc t="2" v="0"/>
    </bk>
  </cellMetadata>
  <valueMetadata count="1">
    <bk>
      <rc t="1" v="0"/>
    </bk>
  </valueMetadata>
</metadata>
</file>

<file path=xl/sharedStrings.xml><?xml version="1.0" encoding="utf-8"?>
<sst xmlns="http://schemas.openxmlformats.org/spreadsheetml/2006/main" count="8167" uniqueCount="633">
  <si>
    <t>Highest day</t>
  </si>
  <si>
    <t>London</t>
  </si>
  <si>
    <t>A&amp;E diverts</t>
  </si>
  <si>
    <t>Data notes</t>
  </si>
  <si>
    <t>G&amp;A bed occupancy</t>
  </si>
  <si>
    <t>No. trusts hit 100%</t>
  </si>
  <si>
    <t>No. trusts hit 85%</t>
  </si>
  <si>
    <t>No. trusts hit 95%</t>
  </si>
  <si>
    <t>Beds occ. by long stay</t>
  </si>
  <si>
    <t xml:space="preserve">   Over 7 days:</t>
  </si>
  <si>
    <t xml:space="preserve">   Over 21 days:</t>
  </si>
  <si>
    <t>Definition: The percentage of all open general and acute beds (core bed stock and escalation beds) that are occupied.</t>
  </si>
  <si>
    <t>D&amp;V, Norovirus</t>
  </si>
  <si>
    <t xml:space="preserve">    Beds closed:</t>
  </si>
  <si>
    <t xml:space="preserve">    Beds closed unoccupied:</t>
  </si>
  <si>
    <t>Adult critical care</t>
  </si>
  <si>
    <t>Paediatric intensive care</t>
  </si>
  <si>
    <t xml:space="preserve">    Occupancy rate:</t>
  </si>
  <si>
    <t xml:space="preserve">    No. beds available:</t>
  </si>
  <si>
    <t>Neonatal intensive care</t>
  </si>
  <si>
    <t xml:space="preserve">    Ambulance arrivals:</t>
  </si>
  <si>
    <t xml:space="preserve">   % delayed 30 mins or more:</t>
  </si>
  <si>
    <t xml:space="preserve">   % delayed 60 mins or more:</t>
  </si>
  <si>
    <t>No. of trusts with &gt;60 min delays</t>
  </si>
  <si>
    <t>Ambulance arrivals and delays</t>
  </si>
  <si>
    <t>No. days with zero diverts</t>
  </si>
  <si>
    <t>Definition: An A&amp;E divert is where new arrivals (e.g. ambulance arrivals) are being temporarily diverted to another hospital.</t>
  </si>
  <si>
    <t>Day with the most diverts</t>
  </si>
  <si>
    <t>Chart</t>
  </si>
  <si>
    <t>Definition: The number of beds closed to diarrhoea and vomiting/norovirus-like symptoms, and of those the number unoccupied.</t>
  </si>
  <si>
    <t>No. trusts with beds closed</t>
  </si>
  <si>
    <t>No. trusts with beds closed unocc.</t>
  </si>
  <si>
    <t>Definition: The number of adult critical care beds that are open and the percentage of those that are occupied.</t>
  </si>
  <si>
    <t>Definition: The number of paediatric intensive care beds that are open and the percentage of those that are occupied.</t>
  </si>
  <si>
    <t>Definition: The number of neonatal intensive care beds that are open and the percentage of those that are occupied.</t>
  </si>
  <si>
    <t>Definition: The number of patients arriving by ambulance. The number of ambulance handover delays between 30 and 60 minutes, and the number of delays over 60 minutes.</t>
  </si>
  <si>
    <t>Total</t>
  </si>
  <si>
    <t>Sum of AE diverts</t>
  </si>
  <si>
    <t>Row Labels</t>
  </si>
  <si>
    <t>Grand Total</t>
  </si>
  <si>
    <t>Year</t>
  </si>
  <si>
    <t>All</t>
  </si>
  <si>
    <t>Column Labels</t>
  </si>
  <si>
    <t>Week 1</t>
  </si>
  <si>
    <t>Week 2</t>
  </si>
  <si>
    <t>Week 3</t>
  </si>
  <si>
    <t>Week 4</t>
  </si>
  <si>
    <t>Week 5</t>
  </si>
  <si>
    <t>Week 6</t>
  </si>
  <si>
    <t>Week 7</t>
  </si>
  <si>
    <t>Week 8</t>
  </si>
  <si>
    <t>Week 9</t>
  </si>
  <si>
    <t>Week 10</t>
  </si>
  <si>
    <t>Week 11</t>
  </si>
  <si>
    <t>Week 12</t>
  </si>
  <si>
    <t>Week 13</t>
  </si>
  <si>
    <t>Week 14</t>
  </si>
  <si>
    <t>Total Available</t>
  </si>
  <si>
    <t>Available</t>
  </si>
  <si>
    <t>Total Occupied</t>
  </si>
  <si>
    <t>Occupied</t>
  </si>
  <si>
    <t>Sum of Beds occ over 7 days</t>
  </si>
  <si>
    <t>Sum of Beds occ over 21 days</t>
  </si>
  <si>
    <t>Sum of Beds closed norovirus</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</si>
  <si>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</si>
  <si>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</si>
  <si>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</si>
  <si>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</si>
  <si>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</si>
  <si>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</si>
  <si>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BIRMINGHAM WOMEN'S AND CHILDREN'S NHS FOUNDATION TRUST</t>
  </si>
  <si>
    <t>BLACKPOOL TEACHING HOSPITALS NHS FOUNDATION TRUST</t>
  </si>
  <si>
    <t>BOLTON NHS FOUNDATION TRUST</t>
  </si>
  <si>
    <t>BRADFORD TEACHING HOSPITALS NHS FOUNDATION TRUST</t>
  </si>
  <si>
    <t>BRIGHTON AND SUSSEX UNIVERSITY HOSPITALS NHS TRUST</t>
  </si>
  <si>
    <t>BUCKINGHAMSHIRE HEALTHCARE NHS TRUST</t>
  </si>
  <si>
    <t>CALDERDALE AND HUDDERSFIELD NHS FOUNDATION TRUST</t>
  </si>
  <si>
    <t>CAMBRIDGE UNIVERSITY HOSPITALS NHS FOUNDATION TRUST</t>
  </si>
  <si>
    <t>CHELSEA AND WESTMINSTER HOSPITAL NHS FOUNDATION TRUST</t>
  </si>
  <si>
    <t>CHESTERFIELD ROYAL HOSPITAL NHS FOUNDATION TRUST</t>
  </si>
  <si>
    <t>COUNTESS OF CHESTER HOSPITAL NHS FOUNDATION TRUST</t>
  </si>
  <si>
    <t>COUNTY DURHAM AND DARLINGTON NHS FOUNDATION TRUST</t>
  </si>
  <si>
    <t>CROYDON HEALTH SERVICES NHS TRUST</t>
  </si>
  <si>
    <t>DARTFORD AND GRAVESHAM NHS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</si>
  <si>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</si>
  <si>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</si>
  <si>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</si>
  <si>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</si>
  <si>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</si>
  <si>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</si>
  <si>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</si>
  <si>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</si>
  <si>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</si>
  <si>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</si>
  <si>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</si>
  <si>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</si>
  <si>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</si>
  <si>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</si>
  <si>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</si>
  <si>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</si>
  <si>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</si>
  <si>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IMPERIAL COLLEGE HEALTHCARE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</si>
  <si>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</si>
  <si>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</si>
  <si>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</si>
  <si>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</si>
  <si>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</si>
  <si>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</si>
  <si>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</si>
  <si>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</si>
  <si>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MAIDSTONE AND TUNBRIDGE WELLS NHS TRUST</t>
  </si>
  <si>
    <t>MANCHESTER UNIVERSITY NHS FOUNDATION TRUST</t>
  </si>
  <si>
    <t>MEDWAY NHS FOUNDATION TRUST</t>
  </si>
  <si>
    <t>MID CHESHIRE HOSPITALS NHS FOUNDATION TRUST</t>
  </si>
  <si>
    <t>MID YORKSHIRE HOSPITALS NHS TRUST</t>
  </si>
  <si>
    <t>MILTON KEYNES UNIVERSITY HOSPITAL NHS FOUNDATION TRUST</t>
  </si>
  <si>
    <t>NORFOLK AND NORWICH UNIVERSITY HOSPITALS NHS FOUNDATION TRUST</t>
  </si>
  <si>
    <t>NORTH BRISTOL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</si>
  <si>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</si>
  <si>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</si>
  <si>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</si>
  <si>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</si>
  <si>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</si>
  <si>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</si>
  <si>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</si>
  <si>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</si>
  <si>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</si>
  <si>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</si>
  <si>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ROYAL BERKSHIRE NHS FOUNDATION TRUST</t>
  </si>
  <si>
    <t>ROYAL CORNWALL HOSPITALS NHS TRUST</t>
  </si>
  <si>
    <t>ROYAL DEVON AND EXETER NHS FOUNDATION TRUST</t>
  </si>
  <si>
    <t>ROYAL FREE LONDON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</si>
  <si>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</si>
  <si>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</si>
  <si>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</si>
  <si>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</si>
  <si>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</si>
  <si>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</si>
  <si>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</si>
  <si>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</si>
  <si>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</si>
  <si>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WARWICKSHIRE NHS FOUNDATION TRUST</t>
  </si>
  <si>
    <t>SOUTHPORT AND ORMSKIRK HOSPITAL NHS TRUST</t>
  </si>
  <si>
    <t>ST GEORGE'S UNIVERSITY HOSPITALS NHS FOUNDATION TRUST</t>
  </si>
  <si>
    <t>ST HELENS AND KNOWSLEY HOSPITALS NHS TRUST</t>
  </si>
  <si>
    <t>STOCKPORT NHS FOUNDATION TRUST</t>
  </si>
  <si>
    <t>SURREY AND SUSSEX HEALTHCARE NHS TRUST</t>
  </si>
  <si>
    <t>TAMESIDE AND GLOSSOP INTEGRATED CARE NHS FOUNDATION TRUST</t>
  </si>
  <si>
    <t>THE DUDLEY GROUP NHS FOUNDATION TRUST</t>
  </si>
  <si>
    <t>THE HILLINGDON HOSPITALS NHS FOUNDATION TRUST</t>
  </si>
  <si>
    <t>THE NEWCASTLE UPON TYNE HOSPITALS NHS FOUNDATION TRUST</t>
  </si>
  <si>
    <t>THE PRINCESS ALEXANDRA HOSPITAL NHS TRUST</t>
  </si>
  <si>
    <t>THE ROTHERHAM NHS FOUNDATION TRUST</t>
  </si>
  <si>
    <t>THE ROYAL WOLVERHAMPTON NHS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</si>
  <si>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</si>
  <si>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</si>
  <si>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</si>
  <si>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</si>
  <si>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</si>
  <si>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</si>
  <si>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</si>
  <si>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</si>
  <si>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</si>
  <si>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</si>
  <si>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WEST HERTFORDSHIRE HOSPITALS NHS TRUST</t>
  </si>
  <si>
    <t>WEST SUFFOLK NHS FOUNDATION TRUST</t>
  </si>
  <si>
    <t>WESTERN SUSSEX HOSPITALS NHS FOUNDATION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</si>
  <si>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</si>
  <si>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</si>
  <si>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</si>
  <si>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</si>
  <si>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</si>
  <si>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</si>
  <si>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</si>
  <si>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Sum of Beds closed norovius unocc</t>
  </si>
  <si>
    <t>Sum of Amb arrivals</t>
  </si>
  <si>
    <t>Total 30-60 mins</t>
  </si>
  <si>
    <t>30-60 mins</t>
  </si>
  <si>
    <t>Total over 60 mins</t>
  </si>
  <si>
    <t>over 60 mins</t>
  </si>
  <si>
    <t>Total Sum of Amb arrivals</t>
  </si>
  <si>
    <t>Total Avail</t>
  </si>
  <si>
    <t>Avail</t>
  </si>
  <si>
    <t>Total Occ</t>
  </si>
  <si>
    <t>Occ</t>
  </si>
  <si>
    <t>Sum of Paed Int Care Avail</t>
  </si>
  <si>
    <t>Sum of Paed Int Care Occ</t>
  </si>
  <si>
    <t>Total Sum of Paed Int Care Avail</t>
  </si>
  <si>
    <t>Total Sum of Paed Int Care Occ</t>
  </si>
  <si>
    <t>Sum of Amb delays over 60 mins</t>
  </si>
  <si>
    <t>Sum of Neo Int Care Avail</t>
  </si>
  <si>
    <t>Sum of Neo Int Care occ</t>
  </si>
  <si>
    <t>Total Sum of Neo Int Care Avail</t>
  </si>
  <si>
    <t>Total Sum of Neo Int Care occ</t>
  </si>
  <si>
    <t>Friday</t>
  </si>
  <si>
    <t>Monday</t>
  </si>
  <si>
    <t>Saturday</t>
  </si>
  <si>
    <t>Sunday</t>
  </si>
  <si>
    <t>Thursday</t>
  </si>
  <si>
    <t>Tuesday</t>
  </si>
  <si>
    <t>Wednesday</t>
  </si>
  <si>
    <t>Week 1 Total</t>
  </si>
  <si>
    <t>Average of GA bed occupancy</t>
  </si>
  <si>
    <t>&gt;85%</t>
  </si>
  <si>
    <t>&gt;95%</t>
  </si>
  <si>
    <t>G&amp;A bed availability</t>
  </si>
  <si>
    <t>Daily average</t>
  </si>
  <si>
    <t>Total Core</t>
  </si>
  <si>
    <t>Core</t>
  </si>
  <si>
    <t>Total Escalation</t>
  </si>
  <si>
    <t>Escalation</t>
  </si>
  <si>
    <t>Total Total</t>
  </si>
  <si>
    <t>ESC.</t>
  </si>
  <si>
    <t>TOTAL</t>
  </si>
  <si>
    <t>Day with most core beds open</t>
  </si>
  <si>
    <t>Day with most escalation beds open</t>
  </si>
  <si>
    <t>Day with most total beds open</t>
  </si>
  <si>
    <t>The data shows the average daily occupancy for general and acute beds, as well as the number of reporting trusts who reached 85%, 95% or 100% occupancy on at least one day that week.
Note that the vertical axis on the chart does not start at zero.</t>
  </si>
  <si>
    <t xml:space="preserve">   Escalation beds:</t>
  </si>
  <si>
    <t xml:space="preserve">   Total beds:</t>
  </si>
  <si>
    <t>Definition: All available beds for general and acute patients, made up of core bed stock and escalation beds (temporary beds opened to increase capacity).</t>
  </si>
  <si>
    <t>LONDON NORTH WEST UNIVERSITY HEALTHCARE NHS TRUST</t>
  </si>
  <si>
    <t>UNIVERSITY HOSPITALS PLYMOUTH NHS TRUST</t>
  </si>
  <si>
    <t>South East</t>
  </si>
  <si>
    <t>South West</t>
  </si>
  <si>
    <t>UNIVERSITY HOSPITALS OF DERBY AND BURTON NHS FOUNDATION TRUST</t>
  </si>
  <si>
    <t>Midlands</t>
  </si>
  <si>
    <t xml:space="preserve">South East </t>
  </si>
  <si>
    <t xml:space="preserve">South West </t>
  </si>
  <si>
    <t xml:space="preserve">   Over 14 days:</t>
  </si>
  <si>
    <t xml:space="preserve">Week </t>
  </si>
  <si>
    <t>The data shows the total number (sum) of ambulance arrivals to the reporting trusts in that week, and then the percentage of these that were delayed by 30 minutes or more and 60 minutes or more. It also shows the number of trusts in that week that reported at least one delay of over 60 minutes.
Note that the vertical axis on the ambulance arrivals chart does not start at zero.</t>
  </si>
  <si>
    <t xml:space="preserve">Week 10 </t>
  </si>
  <si>
    <t>Week 6 total</t>
  </si>
  <si>
    <t xml:space="preserve">Week 7 total </t>
  </si>
  <si>
    <t>Week 8 total</t>
  </si>
  <si>
    <t>Week 9 total</t>
  </si>
  <si>
    <t xml:space="preserve">Week 10 total </t>
  </si>
  <si>
    <t>Week 11 total</t>
  </si>
  <si>
    <t xml:space="preserve">Week 12 total </t>
  </si>
  <si>
    <t>Week 13 total</t>
  </si>
  <si>
    <t>CD CJ</t>
  </si>
  <si>
    <t>CL CR</t>
  </si>
  <si>
    <t>CT CZ</t>
  </si>
  <si>
    <t>DB DH</t>
  </si>
  <si>
    <t>DJ DP</t>
  </si>
  <si>
    <t>DR DX</t>
  </si>
  <si>
    <t>DZ EF</t>
  </si>
  <si>
    <t xml:space="preserve"> Core beds:</t>
  </si>
  <si>
    <t>The data shows the average number of patients per day with stays of 7, 14 and 21 days or more.</t>
  </si>
  <si>
    <t>Definition: Beds occupied by patients with a length of stay of 7, 14 and 21 days or more.</t>
  </si>
  <si>
    <t>Sum of Beds occ over 14 days 2</t>
  </si>
  <si>
    <t>19/20</t>
  </si>
  <si>
    <t>East of England</t>
  </si>
  <si>
    <t>North East &amp; Yorkshire</t>
  </si>
  <si>
    <t>North West</t>
  </si>
  <si>
    <t xml:space="preserve">North West </t>
  </si>
  <si>
    <t xml:space="preserve">East of England </t>
  </si>
  <si>
    <t>North East and Yorkshire</t>
  </si>
  <si>
    <t>EAST SUFFOLK AND NORTH ESSEX NHS FOUNDATION TRUST</t>
  </si>
  <si>
    <t>HULL UNIVERSITY TEACHING HOSPITALS NHS TRUST</t>
  </si>
  <si>
    <t>LIVERPOOL UNIVERSITY HOSPITALS NHS FOUNDATION TRUST</t>
  </si>
  <si>
    <t>ROYAL SURREY NHS FOUNDATION TRUST</t>
  </si>
  <si>
    <t>THE QUEEN ELIZABETH HOSPITAL KING'S LYNN NHS FOUNDATION TRUST</t>
  </si>
  <si>
    <t>2019/20 weekly total</t>
  </si>
  <si>
    <t>2019/20 weekly total by region</t>
  </si>
  <si>
    <t>2019/20 - highest day</t>
  </si>
  <si>
    <t>2019/20 - no. zero days</t>
  </si>
  <si>
    <t>2019/20 daily average beds available</t>
  </si>
  <si>
    <t>2019/20 highest day</t>
  </si>
  <si>
    <t>2019/20 daily average beds available, by region</t>
  </si>
  <si>
    <t xml:space="preserve">2019/20 - G&amp;A weekly average bed occupancy </t>
  </si>
  <si>
    <t>2019/20 - weekly average bed occupancy, by region</t>
  </si>
  <si>
    <t xml:space="preserve">2019/20 - weekly total number of beds occ over 7 days </t>
  </si>
  <si>
    <t>2019/20 - weekly total number of beds occ over 21 days</t>
  </si>
  <si>
    <t>2019/20 - weekly total number of beds occ over 14 days</t>
  </si>
  <si>
    <t>2019/20 average daily beds closed</t>
  </si>
  <si>
    <t>2019/20 average daily beds closed, by region</t>
  </si>
  <si>
    <t>2019/20 no. trusts with beds closed</t>
  </si>
  <si>
    <t>2019/20 day with most beds closed</t>
  </si>
  <si>
    <t>2019/20 average daily beds closed unoccupied</t>
  </si>
  <si>
    <t>2019/20 daily beds closed unoccupied, by region</t>
  </si>
  <si>
    <t>2019/20 number of trusts closed unoccupied</t>
  </si>
  <si>
    <t>2019/20 with highest number closed unoccupied</t>
  </si>
  <si>
    <t>2019/20 average occupancy</t>
  </si>
  <si>
    <t>2019/20 average bed occupancy, by region</t>
  </si>
  <si>
    <t>2019/20 average occupancy, by region</t>
  </si>
  <si>
    <t>2019/20 total ambulance arrivals, by region</t>
  </si>
  <si>
    <t>2019/20 ambulance handover delays, by region</t>
  </si>
  <si>
    <t>NORTH CUMBRIA INTEGRATED CARE NHS FOUNDATION TRUST</t>
  </si>
  <si>
    <t>SOUTH TYNESIDE AND SUNDERLAND NHS FOUNDATION TRUST</t>
  </si>
  <si>
    <t>East Of England</t>
  </si>
  <si>
    <t>10 (21-Dec)</t>
  </si>
  <si>
    <t>4 out of 91 (4%)</t>
  </si>
  <si>
    <t>20/21</t>
  </si>
  <si>
    <t>94,549 (24-Feb)</t>
  </si>
  <si>
    <t>4,872 (6-Jan)</t>
  </si>
  <si>
    <t xml:space="preserve">98,983 (7-Jan) </t>
  </si>
  <si>
    <t>1,169 (03-Dec)</t>
  </si>
  <si>
    <t xml:space="preserve">203 (06-Dec) </t>
  </si>
  <si>
    <t xml:space="preserve">1. The data below summarises the weekly winter sitrep data published by NHS England. 
2. Where possible the data has been compared to the closest week in 2019/20. 
3. In 2020/21 there are 127 trusts reporting in the weekly winter sitreps, compared to 132 in 2019/20, comparisons with 2019/20 should therefore be used with caution for data which is a sum rather than an average.
4. The data is provided at England and at regional level. There are different numbers of trusts in each region so where data is a sum rather than an average it should not be compared across regions. </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</si>
  <si>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</si>
  <si>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</si>
  <si>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</si>
  <si>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</si>
  <si>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</si>
  <si>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</si>
  <si>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Bedfordshire Hospitals NHS Foundation Trust</t>
  </si>
  <si>
    <t>Birmingham Women's and Children's NHS Foundation Trust</t>
  </si>
  <si>
    <t>Blackpool Teaching Hospitals NHS Foundation Trust</t>
  </si>
  <si>
    <t>Bolton NHS Foundation Trust</t>
  </si>
  <si>
    <t>Bradford Teaching Hospitals NHS Foundation Trust</t>
  </si>
  <si>
    <t>Brighton and Sussex University Hospitals NHS Trust</t>
  </si>
  <si>
    <t>Buckinghamshire Healthcare NHS Trust</t>
  </si>
  <si>
    <t>Calderdale and Huddersfield NHS Foundation Trust</t>
  </si>
  <si>
    <t>Cambridge University Hospitals NHS Foundation Trust</t>
  </si>
  <si>
    <t>Chelsea and Westminster Hospital NHS Foundation Trust</t>
  </si>
  <si>
    <t>Chesterfield Royal Hospital NHS Foundation Trust</t>
  </si>
  <si>
    <t>Countess of Chester Hospital NHS Foundation Trust</t>
  </si>
  <si>
    <t>County Durham and Darlington NHS Foundation Trust</t>
  </si>
  <si>
    <t>Croydon Health Services NHS Trust</t>
  </si>
  <si>
    <t>Dartford and Gravesham NHS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</si>
  <si>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</si>
  <si>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</si>
  <si>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</si>
  <si>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</si>
  <si>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</si>
  <si>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</si>
  <si>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Suffolk and North Essex NHS Foundation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</si>
  <si>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</si>
  <si>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</si>
  <si>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</si>
  <si>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</si>
  <si>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</si>
  <si>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</si>
  <si>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</si>
  <si>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</si>
  <si>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</si>
  <si>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</si>
  <si>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</si>
  <si>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Hull University Teaching Hospitals NHS Trust</t>
  </si>
  <si>
    <t>Imperial College Healthcare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</si>
  <si>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</si>
  <si>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</si>
  <si>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</si>
  <si>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</si>
  <si>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</si>
  <si>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</si>
  <si>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</si>
  <si>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</si>
  <si>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University Hospitals NHS Foundation Trust</t>
  </si>
  <si>
    <t>London North West University Healthcare NHS Trust</t>
  </si>
  <si>
    <t>Maidstone and Tunbridge Wells NHS Trust</t>
  </si>
  <si>
    <t>Manchester University NHS Foundation Trust</t>
  </si>
  <si>
    <t>Medway NHS Foundation Trust</t>
  </si>
  <si>
    <t>Mid and South Essex NHS Foundation Trust</t>
  </si>
  <si>
    <t>Mid Cheshire Hospitals NHS Foundation Trust</t>
  </si>
  <si>
    <t>Mid Yorkshire Hospitals NHS Trust</t>
  </si>
  <si>
    <t>Milton Keynes University Hospital NHS Foundation Trust</t>
  </si>
  <si>
    <t>Norfolk and Norwich University Hospitals NHS Foundation Trust</t>
  </si>
  <si>
    <t>North Bristol NHS Trust</t>
  </si>
  <si>
    <t>North Cumbria Integrated Care NHS Foundation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</si>
  <si>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</si>
  <si>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</si>
  <si>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</si>
  <si>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</si>
  <si>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</si>
  <si>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</si>
  <si>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</si>
  <si>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</si>
  <si>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</si>
  <si>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</si>
  <si>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Portsmouth Hospitals University National Health Service Trust</t>
  </si>
  <si>
    <t>Royal Berkshire NHS Foundation Trust</t>
  </si>
  <si>
    <t>Royal Cornwall Hospitals NHS Trust</t>
  </si>
  <si>
    <t>Royal Devon and Exeter NHS Foundation Trust</t>
  </si>
  <si>
    <t>Royal Free London NHS Foundation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</si>
  <si>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</si>
  <si>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</si>
  <si>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</si>
  <si>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</si>
  <si>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</si>
  <si>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</si>
  <si>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</si>
  <si>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</si>
  <si>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</si>
  <si>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Somerset NHS Foundation Trust</t>
  </si>
  <si>
    <t>South Tees Hospitals NHS Foundation Trust</t>
  </si>
  <si>
    <t>South Tyneside and Sunderland NHS Foundation Trust</t>
  </si>
  <si>
    <t>South Warwickshire NHS Foundation Trust</t>
  </si>
  <si>
    <t>Southport and Ormskirk Hospital NHS Trust</t>
  </si>
  <si>
    <t>St George's University Hospitals NHS Foundation Trust</t>
  </si>
  <si>
    <t>St Helens and Knowsley Teaching Hospitals NHS Trust</t>
  </si>
  <si>
    <t>Stockport NHS Foundation Trust</t>
  </si>
  <si>
    <t>Surrey and Sussex Healthcare NHS Trust</t>
  </si>
  <si>
    <t>Tameside and Glossop Integrated Care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</si>
  <si>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</si>
  <si>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</si>
  <si>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</si>
  <si>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</si>
  <si>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</si>
  <si>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Rotherham NHS Foundation Trust</t>
  </si>
  <si>
    <t>The Royal Wolverhampton NHS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</si>
  <si>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</si>
  <si>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</si>
  <si>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</si>
  <si>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</si>
  <si>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</si>
  <si>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and Weston NHS Foundation Trust</t>
  </si>
  <si>
    <t>University Hospitals Coventry and Warwickshire NHS Trust</t>
  </si>
  <si>
    <t>University Hospitals Dorset NHS Foundation Trust</t>
  </si>
  <si>
    <t>University Hospitals of Derby and Burton NHS Foundation Trust</t>
  </si>
  <si>
    <t>University Hospitals of Leicester NHS Trust</t>
  </si>
  <si>
    <t>University Hospitals of Morecambe Bay NHS Foundation Trust</t>
  </si>
  <si>
    <t>University Hospitals of North Midlands NHS Trust</t>
  </si>
  <si>
    <t>University Hospitals Plymouth NHS Trust</t>
  </si>
  <si>
    <t>Walsall Healthcare NHS Trust</t>
  </si>
  <si>
    <t>Warrington and Halton Teaching Hospitals NHS Foundation Trust</t>
  </si>
  <si>
    <t>West Hertfordshire Hospitals NHS Trust</t>
  </si>
  <si>
    <t>West Suffolk NHS Foundation Trust</t>
  </si>
  <si>
    <t>Western Sussex Hospitals NHS Foundation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</si>
  <si>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</si>
  <si>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</si>
  <si>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</si>
  <si>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</si>
  <si>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</si>
  <si>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</si>
  <si>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</si>
  <si>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The data shows the total (sum) of all diverts in a given week.  
Total for 134 trusts in 2018/19, 132 trusts in 2019/20 and 127 in 2020/21</t>
  </si>
  <si>
    <t>The data shows the average number of beds per day that are closed and closed unoccupied due to D&amp;V/norovirus-like symptoms. It also shows the number of trusts with beds closed/beds closed unoccupied on at least one day that week and the day with the highest number of closures recorded.
Total for 134 trusts in 2018/19, 132 trusts in 2019/20 and 127 in 2020/21.</t>
  </si>
  <si>
    <t>The data shows the daily average percentage of paediatric intensive care beds that are occupied. As well as the daily average number of paediatric intensive care beds available (total number of beds minus number of occupied beds) each day.
Available beds total for 134 trusts in 2018/19, 132 trusts in 2019/20, 127 trusts in 2020/21.
Note that the vertical axis on the chart does not start at zero.</t>
  </si>
  <si>
    <t>The data shows the daily average percentage of neonatal intensive care beds that are occupied. As well as the daily average number of neonatal intensive care beds available (total number of beds minus number of occupied beds) each day.
Available beds total for 134 trusts in 2018/19, 132 trusts in 2019/20, 127 trusts in 2020/21. 
Note that the vertical axis on the chart does not start at zero.</t>
  </si>
  <si>
    <t>MID AND SOUTH ESSEX NHS FOUNDATION TRUST</t>
  </si>
  <si>
    <t>PORTSMOUTH HOSPITALS UNIVERSITY NHS TRUST</t>
  </si>
  <si>
    <t>WARRINGTON AND HALTON TEACHING HOSPITALS NHS FOUNDATION TRUST</t>
  </si>
  <si>
    <t>2020/21</t>
  </si>
  <si>
    <t>SOMERSET NHS FOUNDATION TRUST</t>
  </si>
  <si>
    <t>UNIVERSITY HOSPITALS DORSET NHS FOUNDATION TRUST</t>
  </si>
  <si>
    <t>-</t>
  </si>
  <si>
    <t>Week 2 Total</t>
  </si>
  <si>
    <t>Week 3 Total</t>
  </si>
  <si>
    <t>Week 4 Total</t>
  </si>
  <si>
    <t>Week 5 Total</t>
  </si>
  <si>
    <t>Week 6 Total</t>
  </si>
  <si>
    <t xml:space="preserve">
The data shows the daily average number of general and acute beds available, divided into core beds and escalation beds. As well as the day when the highest number of each bed type was available.
Total for 134 trusts in 2018/19, 132 trusts in 2019/20 and 127 in 2020/21.
Note that the vertical axis on the core beds and total beds charts do not start at zero.</t>
  </si>
  <si>
    <t>Week 7 Total</t>
  </si>
  <si>
    <t>Winter daily sitreps[ID]</t>
  </si>
  <si>
    <t>Winter daily sitreps[cri_id]</t>
  </si>
  <si>
    <t>Winter daily sitreps[dr_id]</t>
  </si>
  <si>
    <t>Winter daily sitreps[org_id]</t>
  </si>
  <si>
    <t>Winter daily sitreps[cri_dataperiodstart]</t>
  </si>
  <si>
    <t>Winter daily sitreps[Code]</t>
  </si>
  <si>
    <t>Winter daily sitreps[Name]</t>
  </si>
  <si>
    <t>Winter daily sitreps[Date]</t>
  </si>
  <si>
    <t>Winter daily sitreps[Week]</t>
  </si>
  <si>
    <t>Winter daily sitreps[Day]</t>
  </si>
  <si>
    <t>Winter daily sitreps[Bank holiday]</t>
  </si>
  <si>
    <t>Winter daily sitreps[AE closures]</t>
  </si>
  <si>
    <t>Winter daily sitreps[AE diverts]</t>
  </si>
  <si>
    <t>Winter daily sitreps[AE type 1 attendances]</t>
  </si>
  <si>
    <t>Winter daily sitreps[AE type 2 attendances]</t>
  </si>
  <si>
    <t>Winter daily sitreps[AE type 3 attendances]</t>
  </si>
  <si>
    <t>Winter daily sitreps[AE total attendances]</t>
  </si>
  <si>
    <t>Winter daily sitreps[Emergency admissions]</t>
  </si>
  <si>
    <t>Winter daily sitreps[GA core beds avail]</t>
  </si>
  <si>
    <t>Winter daily sitreps[GA escalation beds avail]</t>
  </si>
  <si>
    <t>Winter daily sitreps[GA total beds avail]</t>
  </si>
  <si>
    <t>Winter daily sitreps[GA total beds occupied]</t>
  </si>
  <si>
    <t>Winter daily sitreps[Beds closed norovirus]</t>
  </si>
  <si>
    <t>Winter daily sitreps[Beds closed norovius unocc]</t>
  </si>
  <si>
    <t>Winter daily sitreps[Adult CC beds avail]</t>
  </si>
  <si>
    <t>Winter daily sitreps[Adult CC beds occ]</t>
  </si>
  <si>
    <t>Winter daily sitreps[Paed Int Care Avail]</t>
  </si>
  <si>
    <t>Winter daily sitreps[Paed Int Care Occ]</t>
  </si>
  <si>
    <t>Winter daily sitreps[Neo Int Care Avail]</t>
  </si>
  <si>
    <t>Winter daily sitreps[Neo Int Care occ]</t>
  </si>
  <si>
    <t>Winter daily sitreps[OPEL 3 or above]</t>
  </si>
  <si>
    <t>Winter daily sitreps[Weekend]</t>
  </si>
  <si>
    <t>Winter daily sitreps[Region]</t>
  </si>
  <si>
    <t>Winter daily sitreps[Year]</t>
  </si>
  <si>
    <t>Winter daily sitreps[Beds occ over 7 days]</t>
  </si>
  <si>
    <t>Winter daily sitreps[Beds occ over 21 days]</t>
  </si>
  <si>
    <t>Winter daily sitreps[Amb arrivals]</t>
  </si>
  <si>
    <t>Winter daily sitreps[Amb delays 30-60 mins]</t>
  </si>
  <si>
    <t>Winter daily sitreps[Amb delays over 60 mins]</t>
  </si>
  <si>
    <t>Winter daily sitreps[Week long]</t>
  </si>
  <si>
    <t>Winter daily sitreps[GA bed occupancy]</t>
  </si>
  <si>
    <t>Winter daily sitreps[Beds occ over 14 days]</t>
  </si>
  <si>
    <t>RCF</t>
  </si>
  <si>
    <t>RR7</t>
  </si>
  <si>
    <t>RCD</t>
  </si>
  <si>
    <t>R1F</t>
  </si>
  <si>
    <t>RBD</t>
  </si>
  <si>
    <t>RA4</t>
  </si>
  <si>
    <t>RVW</t>
  </si>
  <si>
    <t>RBZ</t>
  </si>
  <si>
    <t>RA9</t>
  </si>
  <si>
    <t>RJC</t>
  </si>
  <si>
    <t>RBN</t>
  </si>
  <si>
    <t>RN7</t>
  </si>
  <si>
    <t>RJN</t>
  </si>
  <si>
    <t>RLT</t>
  </si>
  <si>
    <t>REM</t>
  </si>
  <si>
    <t>RWP</t>
  </si>
  <si>
    <t>RNN</t>
  </si>
  <si>
    <t>RM3</t>
  </si>
  <si>
    <t>RXP</t>
  </si>
  <si>
    <t>RWF</t>
  </si>
  <si>
    <t>RVR</t>
  </si>
  <si>
    <t>RVY</t>
  </si>
  <si>
    <t>RRF</t>
  </si>
  <si>
    <t>RGP</t>
  </si>
  <si>
    <t>RTX</t>
  </si>
  <si>
    <t>RKE</t>
  </si>
  <si>
    <t>RP5</t>
  </si>
  <si>
    <t>RBK</t>
  </si>
  <si>
    <t>RHW</t>
  </si>
  <si>
    <t>RFS</t>
  </si>
  <si>
    <t>RNQ</t>
  </si>
  <si>
    <t>RWW</t>
  </si>
  <si>
    <t>RNS</t>
  </si>
  <si>
    <t>RLQ</t>
  </si>
  <si>
    <t>RN5</t>
  </si>
  <si>
    <t>RXQ</t>
  </si>
  <si>
    <t>RH8</t>
  </si>
  <si>
    <t>RNZ</t>
  </si>
  <si>
    <t>RD8</t>
  </si>
  <si>
    <t>RFF</t>
  </si>
  <si>
    <t>RQX</t>
  </si>
  <si>
    <t>RAX</t>
  </si>
  <si>
    <t>RAS</t>
  </si>
  <si>
    <t>RWY</t>
  </si>
  <si>
    <t>RA2</t>
  </si>
  <si>
    <t>RTP</t>
  </si>
  <si>
    <t>RRV</t>
  </si>
  <si>
    <t>RFR</t>
  </si>
  <si>
    <t>RMP</t>
  </si>
  <si>
    <t>RH5</t>
  </si>
  <si>
    <t>RAP</t>
  </si>
  <si>
    <t>RTR</t>
  </si>
  <si>
    <t>RDU</t>
  </si>
  <si>
    <t>RVJ</t>
  </si>
  <si>
    <t>RXN</t>
  </si>
  <si>
    <t>RBT</t>
  </si>
  <si>
    <t>RTK</t>
  </si>
  <si>
    <t>RCX</t>
  </si>
  <si>
    <t>RGR</t>
  </si>
  <si>
    <t>RAE</t>
  </si>
  <si>
    <t>RF4</t>
  </si>
  <si>
    <t>RWH</t>
  </si>
  <si>
    <t>RAJ</t>
  </si>
  <si>
    <t>RWG</t>
  </si>
  <si>
    <t>RYJ</t>
  </si>
  <si>
    <t>R1K</t>
  </si>
  <si>
    <t>RK9</t>
  </si>
  <si>
    <t>RC9</t>
  </si>
  <si>
    <t>RJ2</t>
  </si>
  <si>
    <t>RN3</t>
  </si>
  <si>
    <t>REF</t>
  </si>
  <si>
    <t>RVV</t>
  </si>
  <si>
    <t>RYR</t>
  </si>
  <si>
    <t>RHU</t>
  </si>
  <si>
    <t>RK5</t>
  </si>
  <si>
    <t>RKB</t>
  </si>
  <si>
    <t>RTG</t>
  </si>
  <si>
    <t>RXK</t>
  </si>
  <si>
    <t>RL4</t>
  </si>
  <si>
    <t>RJR</t>
  </si>
  <si>
    <t>RWJ</t>
  </si>
  <si>
    <t>RXL</t>
  </si>
  <si>
    <t>RMC</t>
  </si>
  <si>
    <t>RXR</t>
  </si>
  <si>
    <t>RW6</t>
  </si>
  <si>
    <t>RJL</t>
  </si>
  <si>
    <t>RHQ</t>
  </si>
  <si>
    <t>RCB</t>
  </si>
  <si>
    <t>RXF</t>
  </si>
  <si>
    <t>RTF</t>
  </si>
  <si>
    <t>RWA</t>
  </si>
  <si>
    <t>R0B</t>
  </si>
  <si>
    <t>RXH</t>
  </si>
  <si>
    <t>RJ6</t>
  </si>
  <si>
    <t>RAL</t>
  </si>
  <si>
    <t>RDE</t>
  </si>
  <si>
    <t>RM1</t>
  </si>
  <si>
    <t>RGN</t>
  </si>
  <si>
    <t>RQW</t>
  </si>
  <si>
    <t>RXW</t>
  </si>
  <si>
    <t>RNA</t>
  </si>
  <si>
    <t>RWD</t>
  </si>
  <si>
    <t>RRK</t>
  </si>
  <si>
    <t>RBL</t>
  </si>
  <si>
    <t>RXC</t>
  </si>
  <si>
    <t>RPA</t>
  </si>
  <si>
    <t>RTE</t>
  </si>
  <si>
    <t>RD1</t>
  </si>
  <si>
    <t>R0D</t>
  </si>
  <si>
    <t>RJE</t>
  </si>
  <si>
    <t>R1H</t>
  </si>
  <si>
    <t>RGT</t>
  </si>
  <si>
    <t>RJ7</t>
  </si>
  <si>
    <t>RWE</t>
  </si>
  <si>
    <t>RTH</t>
  </si>
  <si>
    <t>RA7</t>
  </si>
  <si>
    <t>RJZ</t>
  </si>
  <si>
    <t>RX1</t>
  </si>
  <si>
    <t>R0A</t>
  </si>
  <si>
    <t>RQ3</t>
  </si>
  <si>
    <t>RQM</t>
  </si>
  <si>
    <t>RJ1</t>
  </si>
  <si>
    <t>RR8</t>
  </si>
  <si>
    <t>RCU</t>
  </si>
  <si>
    <t>RTD</t>
  </si>
  <si>
    <t>RBS</t>
  </si>
  <si>
    <t>RHM</t>
  </si>
  <si>
    <t>Data returned for Avail, Week 7, 2020/21 (First 1000 rows).</t>
  </si>
  <si>
    <t>Open</t>
  </si>
  <si>
    <t>Average - Open</t>
  </si>
  <si>
    <t>Average - Occ</t>
  </si>
  <si>
    <t>Sum of Adult CC beds avail</t>
  </si>
  <si>
    <t xml:space="preserve">3,730 (1-Mar) </t>
  </si>
  <si>
    <t>2018-19</t>
  </si>
  <si>
    <t>Sum of Adult CC beds occ</t>
  </si>
  <si>
    <t xml:space="preserve">3,203 (1-Mar) </t>
  </si>
  <si>
    <t>Week 8 Total</t>
  </si>
  <si>
    <t xml:space="preserve">    Adult critical care beds occupied:</t>
  </si>
  <si>
    <t xml:space="preserve">    Adult critical care beds open:</t>
  </si>
  <si>
    <t>Week 9 Total</t>
  </si>
  <si>
    <t>Week 10 Total</t>
  </si>
  <si>
    <t>Week 11 Total</t>
  </si>
  <si>
    <t>The data shows the daily average total number of adult critical care beds open and beds occupied. It also shows the daily average percentage of adult critical care beds that are occupied as well as the daily average number of adult critical care beds available (total number of beds minus number of occupied beds) each day.
Total for 134 trusts in 2018/19, 132 trusts in 2019/20 and 127 in 2020/21.
Note that the vertical axis on the occupancy rate graph does not start at zero.</t>
  </si>
  <si>
    <t>Week 12 Total</t>
  </si>
  <si>
    <t>Week 13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</si>
</sst>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_-* #,##0_-;\-* #,##0_-;_-* &quot;-&quot;??_-;_-@_-"/>
  </numFmts>
  <fonts count="18" x14ac:knownFonts="1">
    <font>
      <sz val="11"/>
      <color theme="1"/>
      <name val="Calibri"/>
      <family val="2"/>
      <scheme val="minor"/>
    </font>
    <font>
      <sz val="11"/>
      <color theme="1"/>
      <name val="Calibri"/>
      <family val="2"/>
      <scheme val="minor"/>
    </font>
    <font>
      <b/>
      <sz val="11"/>
      <color theme="1"/>
      <name val="Calibri"/>
      <family val="2"/>
      <scheme val="minor"/>
    </font>
    <font>
      <sz val="11"/>
      <color theme="2" tint="-0.249977111117893"/>
      <name val="Calibri"/>
      <family val="2"/>
      <scheme val="minor"/>
    </font>
    <font>
      <i/>
      <sz val="11"/>
      <color theme="1"/>
      <name val="Calibri"/>
      <family val="2"/>
      <scheme val="minor"/>
    </font>
    <font>
      <sz val="14"/>
      <color theme="1"/>
      <name val="Calibri"/>
      <family val="2"/>
      <scheme val="minor"/>
    </font>
    <font>
      <sz val="10"/>
      <color theme="1"/>
      <name val="Calibri"/>
      <family val="2"/>
      <scheme val="minor"/>
    </font>
    <font>
      <i/>
      <sz val="10"/>
      <color theme="9"/>
      <name val="Calibri"/>
      <family val="2"/>
      <scheme val="minor"/>
    </font>
    <font>
      <sz val="11"/>
      <color theme="9"/>
      <name val="Calibri"/>
      <family val="2"/>
      <scheme val="minor"/>
    </font>
    <font>
      <i/>
      <sz val="8"/>
      <color theme="1"/>
      <name val="Calibri"/>
      <family val="2"/>
      <scheme val="minor"/>
    </font>
    <font>
      <i/>
      <sz val="11"/>
      <color theme="0"/>
      <name val="Calibri"/>
      <family val="2"/>
      <scheme val="minor"/>
    </font>
    <font>
      <sz val="11"/>
      <color theme="0"/>
      <name val="Calibri"/>
      <family val="2"/>
      <scheme val="minor"/>
    </font>
    <font>
      <sz val="11"/>
      <color theme="4" tint="-0.249977111117893"/>
      <name val="Calibri"/>
      <family val="2"/>
      <scheme val="minor"/>
    </font>
    <font>
      <sz val="11"/>
      <color theme="4" tint="-0.499984740745262"/>
      <name val="Calibri"/>
      <family val="2"/>
      <scheme val="minor"/>
    </font>
    <font>
      <b/>
      <sz val="11"/>
      <name val="Calibri"/>
      <family val="2"/>
      <scheme val="minor"/>
    </font>
    <font>
      <b/>
      <sz val="14"/>
      <color theme="0"/>
      <name val="Calibri"/>
      <family val="2"/>
      <scheme val="minor"/>
    </font>
    <font>
      <sz val="11"/>
      <name val="Calibri"/>
      <family val="2"/>
      <scheme val="minor"/>
    </font>
    <font>
      <sz val="11"/>
      <color theme="5"/>
      <name val="Calibri"/>
      <family val="2"/>
      <scheme val="minor"/>
    </font>
  </fonts>
  <fills count="13">
    <fill>
      <patternFill patternType="none"/>
    </fill>
    <fill>
      <patternFill patternType="gray125"/>
    </fill>
    <fill>
      <patternFill patternType="solid">
        <fgColor theme="3" tint="0.59999389629810485"/>
        <bgColor indexed="64"/>
      </patternFill>
    </fill>
    <fill>
      <patternFill patternType="solid">
        <fgColor theme="2"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theme="2" tint="0.39997558519241921"/>
        <bgColor indexed="64"/>
      </patternFill>
    </fill>
    <fill>
      <patternFill patternType="solid">
        <fgColor rgb="FFFFFF00"/>
        <bgColor indexed="64"/>
      </patternFill>
    </fill>
    <fill>
      <patternFill patternType="solid">
        <fgColor rgb="FFCED8DD"/>
        <bgColor indexed="64"/>
      </patternFill>
    </fill>
    <fill>
      <patternFill patternType="solid">
        <fgColor theme="0"/>
        <bgColor indexed="64"/>
      </patternFill>
    </fill>
    <fill>
      <patternFill patternType="solid">
        <fgColor theme="6"/>
        <bgColor indexed="64"/>
      </patternFill>
    </fill>
    <fill>
      <patternFill patternType="solid">
        <fgColor theme="6" tint="0.79998168889431442"/>
        <bgColor indexed="64"/>
      </patternFill>
    </fill>
  </fills>
  <borders count="9">
    <border>
      <left/>
      <right/>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43" fontId="1" fillId="0" borderId="0" applyFont="0" applyFill="0" applyBorder="0" applyAlignment="0" applyProtection="0"/>
  </cellStyleXfs>
  <cellXfs count="185">
    <xf numFmtId="0" fontId="0" fillId="0" borderId="0" xfId="0"/>
    <xf numFmtId="0" fontId="0" fillId="0" borderId="0" xfId="0" applyAlignment="1">
      <alignment horizontal="right"/>
    </xf>
    <xf numFmtId="0" fontId="0" fillId="0" borderId="0" xfId="0" applyNumberFormat="1"/>
    <xf numFmtId="164" fontId="0" fillId="0" borderId="0" xfId="1" applyNumberFormat="1" applyFont="1"/>
    <xf numFmtId="0" fontId="0" fillId="0" borderId="0" xfId="0" applyFont="1"/>
    <xf numFmtId="0" fontId="4" fillId="0" borderId="0" xfId="0" applyFont="1" applyAlignment="1">
      <alignment horizontal="right"/>
    </xf>
    <xf numFmtId="0" fontId="5" fillId="0" borderId="0" xfId="0" applyFont="1" applyAlignment="1">
      <alignment vertical="center" textRotation="90"/>
    </xf>
    <xf numFmtId="164" fontId="3" fillId="3" borderId="1" xfId="1" applyNumberFormat="1" applyFont="1" applyFill="1" applyBorder="1" applyAlignment="1">
      <alignment horizontal="center"/>
    </xf>
    <xf numFmtId="0" fontId="0" fillId="0" borderId="0" xfId="0" applyFill="1" applyBorder="1" applyAlignment="1">
      <alignment vertical="center" wrapText="1"/>
    </xf>
    <xf numFmtId="0" fontId="0" fillId="0" borderId="0" xfId="0" applyFill="1" applyBorder="1" applyAlignment="1">
      <alignment horizontal="right" vertical="center" wrapText="1"/>
    </xf>
    <xf numFmtId="0" fontId="0" fillId="0" borderId="0" xfId="0" applyAlignment="1">
      <alignment horizontal="center"/>
    </xf>
    <xf numFmtId="0" fontId="0" fillId="0" borderId="0" xfId="0" applyFill="1" applyBorder="1" applyAlignment="1">
      <alignment horizontal="right"/>
    </xf>
    <xf numFmtId="0" fontId="4" fillId="0" borderId="0" xfId="0" applyFont="1"/>
    <xf numFmtId="0" fontId="4" fillId="0" borderId="0" xfId="0" applyFont="1" applyAlignment="1">
      <alignment horizontal="left"/>
    </xf>
    <xf numFmtId="3" fontId="3" fillId="3" borderId="1" xfId="1" applyNumberFormat="1" applyFont="1" applyFill="1" applyBorder="1" applyAlignment="1">
      <alignment horizontal="center"/>
    </xf>
    <xf numFmtId="0" fontId="6" fillId="0" borderId="0" xfId="0" applyFont="1" applyAlignment="1">
      <alignment vertical="top" wrapText="1"/>
    </xf>
    <xf numFmtId="0" fontId="2" fillId="0" borderId="0" xfId="0" applyFont="1" applyAlignment="1">
      <alignment horizontal="right"/>
    </xf>
    <xf numFmtId="0" fontId="2" fillId="0" borderId="0" xfId="0" applyFont="1"/>
    <xf numFmtId="0" fontId="0" fillId="0" borderId="0" xfId="0" pivotButton="1"/>
    <xf numFmtId="0" fontId="0" fillId="0" borderId="0" xfId="0" applyAlignment="1">
      <alignment horizontal="left"/>
    </xf>
    <xf numFmtId="1" fontId="0" fillId="0" borderId="0" xfId="0" applyNumberFormat="1" applyAlignment="1">
      <alignment horizontal="center"/>
    </xf>
    <xf numFmtId="0" fontId="0" fillId="0" borderId="0" xfId="0" applyNumberFormat="1" applyAlignment="1">
      <alignment horizontal="center"/>
    </xf>
    <xf numFmtId="9" fontId="0" fillId="0" borderId="0" xfId="1" applyFont="1" applyAlignment="1">
      <alignment horizontal="center"/>
    </xf>
    <xf numFmtId="49" fontId="9" fillId="0" borderId="0" xfId="0" applyNumberFormat="1" applyFont="1" applyAlignment="1">
      <alignment horizontal="center"/>
    </xf>
    <xf numFmtId="0" fontId="10" fillId="0" borderId="0" xfId="0" applyFont="1" applyAlignment="1">
      <alignment horizontal="center"/>
    </xf>
    <xf numFmtId="1" fontId="0" fillId="0" borderId="0" xfId="1" applyNumberFormat="1" applyFont="1" applyAlignment="1">
      <alignment horizontal="center"/>
    </xf>
    <xf numFmtId="1" fontId="0" fillId="0" borderId="0" xfId="0" applyNumberFormat="1"/>
    <xf numFmtId="0" fontId="2" fillId="0" borderId="0" xfId="0" applyFont="1" applyAlignment="1">
      <alignment horizontal="center"/>
    </xf>
    <xf numFmtId="164" fontId="0" fillId="0" borderId="0" xfId="1" applyNumberFormat="1" applyFont="1" applyAlignment="1">
      <alignment horizontal="center"/>
    </xf>
    <xf numFmtId="1" fontId="3" fillId="3" borderId="1" xfId="1" applyNumberFormat="1" applyFont="1" applyFill="1" applyBorder="1" applyAlignment="1">
      <alignment horizontal="center"/>
    </xf>
    <xf numFmtId="10" fontId="11" fillId="0" borderId="0" xfId="0" applyNumberFormat="1" applyFont="1"/>
    <xf numFmtId="164" fontId="0" fillId="0" borderId="0" xfId="0" applyNumberFormat="1"/>
    <xf numFmtId="9" fontId="2" fillId="0" borderId="0" xfId="0" applyNumberFormat="1" applyFont="1" applyAlignment="1">
      <alignment horizontal="right"/>
    </xf>
    <xf numFmtId="164" fontId="8" fillId="0" borderId="0" xfId="1" applyNumberFormat="1" applyFont="1" applyFill="1" applyBorder="1" applyAlignment="1">
      <alignment horizontal="center"/>
    </xf>
    <xf numFmtId="3" fontId="0" fillId="0" borderId="0" xfId="0" applyNumberFormat="1" applyAlignment="1">
      <alignment horizontal="center"/>
    </xf>
    <xf numFmtId="0" fontId="2" fillId="0" borderId="0" xfId="0" applyFont="1" applyAlignment="1">
      <alignment horizontal="center" vertical="center"/>
    </xf>
    <xf numFmtId="3" fontId="0" fillId="0" borderId="0" xfId="0" applyNumberFormat="1" applyAlignment="1">
      <alignment horizontal="right"/>
    </xf>
    <xf numFmtId="0" fontId="2" fillId="0" borderId="0" xfId="0" applyFont="1" applyFill="1" applyAlignment="1">
      <alignment horizontal="center"/>
    </xf>
    <xf numFmtId="0" fontId="12" fillId="0" borderId="0" xfId="0" applyFont="1"/>
    <xf numFmtId="0" fontId="4" fillId="0" borderId="0" xfId="0" applyFont="1" applyFill="1"/>
    <xf numFmtId="0" fontId="2" fillId="5" borderId="0" xfId="0" applyFont="1" applyFill="1" applyAlignment="1">
      <alignment horizontal="center"/>
    </xf>
    <xf numFmtId="0" fontId="0" fillId="0" borderId="0" xfId="0" applyAlignment="1">
      <alignment horizontal="center"/>
    </xf>
    <xf numFmtId="0" fontId="0" fillId="0" borderId="0" xfId="0" applyFill="1"/>
    <xf numFmtId="0" fontId="2" fillId="5" borderId="0" xfId="0" applyFont="1" applyFill="1" applyAlignment="1">
      <alignment horizontal="left" vertical="top"/>
    </xf>
    <xf numFmtId="0" fontId="0" fillId="0" borderId="0" xfId="0" applyAlignment="1">
      <alignment horizontal="left" vertical="top"/>
    </xf>
    <xf numFmtId="9" fontId="0" fillId="0" borderId="0" xfId="1" applyFont="1"/>
    <xf numFmtId="0" fontId="2" fillId="5" borderId="0" xfId="0" applyFont="1" applyFill="1" applyAlignment="1">
      <alignment horizontal="center"/>
    </xf>
    <xf numFmtId="0" fontId="2" fillId="4" borderId="0" xfId="0" applyFont="1" applyFill="1" applyAlignment="1">
      <alignment horizontal="center"/>
    </xf>
    <xf numFmtId="0" fontId="0" fillId="0" borderId="0" xfId="0" applyAlignment="1">
      <alignment horizontal="center"/>
    </xf>
    <xf numFmtId="0" fontId="6" fillId="0" borderId="0" xfId="0" applyFont="1" applyAlignment="1">
      <alignment horizontal="left" vertical="top" wrapText="1"/>
    </xf>
    <xf numFmtId="0" fontId="2" fillId="5" borderId="0" xfId="0" applyFont="1" applyFill="1" applyAlignment="1">
      <alignment horizontal="center"/>
    </xf>
    <xf numFmtId="2" fontId="0" fillId="0" borderId="0" xfId="0" applyNumberFormat="1"/>
    <xf numFmtId="0" fontId="0" fillId="0" borderId="0" xfId="0" applyAlignment="1">
      <alignment horizontal="center" vertical="center"/>
    </xf>
    <xf numFmtId="164" fontId="0" fillId="0" borderId="0" xfId="1" applyNumberFormat="1" applyFont="1" applyAlignment="1">
      <alignment horizontal="left" vertical="top"/>
    </xf>
    <xf numFmtId="0" fontId="2" fillId="5" borderId="0" xfId="0" applyFont="1" applyFill="1" applyAlignment="1">
      <alignment horizontal="center"/>
    </xf>
    <xf numFmtId="0" fontId="2" fillId="5" borderId="0" xfId="0" applyFont="1" applyFill="1"/>
    <xf numFmtId="0" fontId="2" fillId="5" borderId="0" xfId="0" applyFont="1" applyFill="1" applyAlignment="1">
      <alignment horizontal="left"/>
    </xf>
    <xf numFmtId="3" fontId="13" fillId="0" borderId="0" xfId="0" applyNumberFormat="1" applyFont="1" applyFill="1" applyBorder="1" applyAlignment="1">
      <alignment horizontal="center"/>
    </xf>
    <xf numFmtId="0" fontId="0" fillId="0" borderId="0" xfId="0" applyBorder="1"/>
    <xf numFmtId="0" fontId="2" fillId="2" borderId="5" xfId="0" applyFont="1" applyFill="1" applyBorder="1" applyAlignment="1">
      <alignment horizontal="center"/>
    </xf>
    <xf numFmtId="3" fontId="2" fillId="2" borderId="5" xfId="0" applyNumberFormat="1" applyFont="1" applyFill="1" applyBorder="1" applyAlignment="1">
      <alignment horizontal="center"/>
    </xf>
    <xf numFmtId="164" fontId="2" fillId="2" borderId="5" xfId="0" applyNumberFormat="1" applyFont="1" applyFill="1" applyBorder="1" applyAlignment="1">
      <alignment horizontal="center"/>
    </xf>
    <xf numFmtId="1" fontId="2" fillId="2" borderId="5" xfId="0" applyNumberFormat="1" applyFont="1" applyFill="1" applyBorder="1" applyAlignment="1">
      <alignment horizontal="center"/>
    </xf>
    <xf numFmtId="164" fontId="2" fillId="2" borderId="5" xfId="1" applyNumberFormat="1" applyFont="1" applyFill="1" applyBorder="1" applyAlignment="1">
      <alignment horizontal="center"/>
    </xf>
    <xf numFmtId="0" fontId="0" fillId="0" borderId="0" xfId="0" applyFill="1" applyBorder="1"/>
    <xf numFmtId="3" fontId="2" fillId="2" borderId="5" xfId="1" applyNumberFormat="1" applyFont="1" applyFill="1" applyBorder="1" applyAlignment="1">
      <alignment horizontal="center"/>
    </xf>
    <xf numFmtId="3" fontId="2" fillId="6" borderId="5" xfId="0" applyNumberFormat="1" applyFont="1" applyFill="1" applyBorder="1" applyAlignment="1">
      <alignment horizontal="center"/>
    </xf>
    <xf numFmtId="164" fontId="2" fillId="7" borderId="5" xfId="1" applyNumberFormat="1" applyFont="1" applyFill="1" applyBorder="1" applyAlignment="1">
      <alignment horizontal="center"/>
    </xf>
    <xf numFmtId="0" fontId="0" fillId="0" borderId="0" xfId="0" applyFont="1" applyAlignment="1">
      <alignment horizontal="right"/>
    </xf>
    <xf numFmtId="164" fontId="13" fillId="0" borderId="0" xfId="1" applyNumberFormat="1" applyFont="1" applyFill="1" applyBorder="1" applyAlignment="1">
      <alignment horizontal="center"/>
    </xf>
    <xf numFmtId="3" fontId="13" fillId="0" borderId="0" xfId="1" applyNumberFormat="1" applyFont="1" applyFill="1" applyBorder="1" applyAlignment="1">
      <alignment horizontal="center"/>
    </xf>
    <xf numFmtId="1" fontId="0" fillId="8" borderId="0" xfId="0" applyNumberFormat="1" applyFill="1" applyAlignment="1">
      <alignment horizontal="center"/>
    </xf>
    <xf numFmtId="1" fontId="0" fillId="9" borderId="0" xfId="0" applyNumberFormat="1" applyFill="1" applyAlignment="1">
      <alignment horizontal="center"/>
    </xf>
    <xf numFmtId="0" fontId="2" fillId="0" borderId="0" xfId="0" applyFont="1" applyFill="1" applyBorder="1" applyAlignment="1">
      <alignment horizontal="center"/>
    </xf>
    <xf numFmtId="0" fontId="13" fillId="0" borderId="0" xfId="0" applyFont="1" applyFill="1" applyBorder="1" applyAlignment="1">
      <alignment horizontal="center"/>
    </xf>
    <xf numFmtId="0" fontId="3" fillId="3" borderId="5" xfId="0" applyFont="1" applyFill="1" applyBorder="1" applyAlignment="1">
      <alignment horizontal="center"/>
    </xf>
    <xf numFmtId="0" fontId="2" fillId="10" borderId="0" xfId="0" applyFont="1" applyFill="1" applyBorder="1" applyAlignment="1"/>
    <xf numFmtId="0" fontId="0" fillId="10" borderId="0" xfId="0" applyFont="1" applyFill="1" applyBorder="1"/>
    <xf numFmtId="3" fontId="2" fillId="10" borderId="0" xfId="0" applyNumberFormat="1" applyFont="1" applyFill="1" applyBorder="1" applyAlignment="1">
      <alignment horizontal="center"/>
    </xf>
    <xf numFmtId="3" fontId="13" fillId="10" borderId="0" xfId="0" applyNumberFormat="1" applyFont="1" applyFill="1" applyBorder="1" applyAlignment="1">
      <alignment horizontal="center"/>
    </xf>
    <xf numFmtId="2" fontId="2" fillId="10" borderId="0" xfId="0" applyNumberFormat="1" applyFont="1" applyFill="1" applyBorder="1" applyAlignment="1"/>
    <xf numFmtId="164" fontId="2" fillId="10" borderId="0" xfId="0" applyNumberFormat="1" applyFont="1" applyFill="1" applyBorder="1" applyAlignment="1">
      <alignment horizontal="center"/>
    </xf>
    <xf numFmtId="164" fontId="13" fillId="10" borderId="0" xfId="0" applyNumberFormat="1" applyFont="1" applyFill="1" applyBorder="1" applyAlignment="1">
      <alignment horizontal="center"/>
    </xf>
    <xf numFmtId="0" fontId="0" fillId="10" borderId="0" xfId="0" applyFill="1" applyBorder="1"/>
    <xf numFmtId="1" fontId="2" fillId="10" borderId="0" xfId="0" applyNumberFormat="1" applyFont="1" applyFill="1" applyBorder="1" applyAlignment="1">
      <alignment horizontal="center"/>
    </xf>
    <xf numFmtId="3" fontId="3" fillId="10" borderId="0" xfId="1" applyNumberFormat="1" applyFont="1" applyFill="1" applyBorder="1" applyAlignment="1">
      <alignment horizontal="center"/>
    </xf>
    <xf numFmtId="3" fontId="3" fillId="3" borderId="5" xfId="1" applyNumberFormat="1" applyFont="1" applyFill="1" applyBorder="1" applyAlignment="1">
      <alignment horizontal="center"/>
    </xf>
    <xf numFmtId="0" fontId="2" fillId="10" borderId="0" xfId="0" applyFont="1" applyFill="1" applyBorder="1" applyAlignment="1">
      <alignment horizontal="center"/>
    </xf>
    <xf numFmtId="3" fontId="2" fillId="10" borderId="0" xfId="0" applyNumberFormat="1" applyFont="1" applyFill="1" applyBorder="1" applyAlignment="1"/>
    <xf numFmtId="1" fontId="13" fillId="10" borderId="0" xfId="0" applyNumberFormat="1" applyFont="1" applyFill="1" applyBorder="1" applyAlignment="1">
      <alignment horizontal="center"/>
    </xf>
    <xf numFmtId="164" fontId="2" fillId="10" borderId="0" xfId="1" applyNumberFormat="1" applyFont="1" applyFill="1" applyBorder="1" applyAlignment="1">
      <alignment horizontal="center"/>
    </xf>
    <xf numFmtId="164" fontId="13" fillId="10" borderId="0" xfId="1" applyNumberFormat="1" applyFont="1" applyFill="1" applyBorder="1" applyAlignment="1">
      <alignment horizontal="center"/>
    </xf>
    <xf numFmtId="1" fontId="14" fillId="10" borderId="0" xfId="0" applyNumberFormat="1" applyFont="1" applyFill="1" applyBorder="1" applyAlignment="1">
      <alignment horizontal="center"/>
    </xf>
    <xf numFmtId="1" fontId="14" fillId="2" borderId="5" xfId="0" applyNumberFormat="1" applyFont="1" applyFill="1" applyBorder="1" applyAlignment="1">
      <alignment horizontal="center"/>
    </xf>
    <xf numFmtId="164" fontId="2" fillId="0" borderId="0" xfId="1" applyNumberFormat="1" applyFont="1" applyFill="1" applyBorder="1" applyAlignment="1">
      <alignment horizontal="center"/>
    </xf>
    <xf numFmtId="1" fontId="2" fillId="0" borderId="0" xfId="0" applyNumberFormat="1" applyFont="1" applyFill="1" applyBorder="1" applyAlignment="1">
      <alignment horizontal="center"/>
    </xf>
    <xf numFmtId="1" fontId="13" fillId="0" borderId="0" xfId="0" applyNumberFormat="1" applyFont="1" applyFill="1" applyBorder="1" applyAlignment="1">
      <alignment horizontal="center"/>
    </xf>
    <xf numFmtId="3" fontId="2" fillId="0" borderId="0" xfId="1" applyNumberFormat="1" applyFont="1" applyFill="1" applyBorder="1" applyAlignment="1">
      <alignment horizontal="center"/>
    </xf>
    <xf numFmtId="0" fontId="2" fillId="2" borderId="5" xfId="0" applyFont="1" applyFill="1" applyBorder="1" applyAlignment="1">
      <alignment horizontal="center"/>
    </xf>
    <xf numFmtId="0" fontId="0" fillId="0" borderId="0" xfId="0" applyFill="1" applyAlignment="1">
      <alignment horizontal="left"/>
    </xf>
    <xf numFmtId="0" fontId="0" fillId="0" borderId="0" xfId="0" applyAlignment="1">
      <alignment horizontal="center"/>
    </xf>
    <xf numFmtId="3" fontId="2" fillId="2" borderId="5" xfId="0" applyNumberFormat="1" applyFont="1" applyFill="1" applyBorder="1" applyAlignment="1">
      <alignment horizontal="center"/>
    </xf>
    <xf numFmtId="3" fontId="0" fillId="0" borderId="0" xfId="0" applyNumberFormat="1"/>
    <xf numFmtId="3" fontId="6" fillId="0" borderId="0" xfId="0" applyNumberFormat="1" applyFont="1" applyAlignment="1">
      <alignment horizontal="left" vertical="top" wrapText="1"/>
    </xf>
    <xf numFmtId="0" fontId="0" fillId="10" borderId="0" xfId="0" applyFill="1"/>
    <xf numFmtId="0" fontId="2" fillId="2" borderId="5" xfId="0" applyFont="1" applyFill="1" applyBorder="1" applyAlignment="1">
      <alignment horizontal="center"/>
    </xf>
    <xf numFmtId="3" fontId="2" fillId="2" borderId="5" xfId="0" applyNumberFormat="1" applyFont="1" applyFill="1" applyBorder="1" applyAlignment="1">
      <alignment horizontal="center"/>
    </xf>
    <xf numFmtId="0" fontId="7" fillId="0" borderId="0" xfId="0" applyFont="1" applyAlignment="1">
      <alignment horizontal="left" vertical="top" wrapText="1"/>
    </xf>
    <xf numFmtId="0" fontId="6" fillId="0" borderId="0" xfId="0" applyFont="1" applyAlignment="1">
      <alignment horizontal="left" vertical="top" wrapText="1"/>
    </xf>
    <xf numFmtId="0" fontId="2" fillId="5" borderId="0" xfId="0" applyFont="1" applyFill="1" applyAlignment="1">
      <alignment horizontal="center" vertical="top"/>
    </xf>
    <xf numFmtId="0" fontId="0" fillId="0" borderId="0" xfId="0" applyAlignment="1">
      <alignment horizontal="center"/>
    </xf>
    <xf numFmtId="3" fontId="2" fillId="2" borderId="5" xfId="0" applyNumberFormat="1" applyFont="1" applyFill="1" applyBorder="1" applyAlignment="1">
      <alignment horizontal="center"/>
    </xf>
    <xf numFmtId="0" fontId="2" fillId="5" borderId="0" xfId="0" applyFont="1" applyFill="1" applyAlignment="1">
      <alignment horizontal="center"/>
    </xf>
    <xf numFmtId="0" fontId="2" fillId="5" borderId="0" xfId="0" applyFont="1" applyFill="1" applyAlignment="1">
      <alignment horizontal="center" vertical="top"/>
    </xf>
    <xf numFmtId="0" fontId="0" fillId="8" borderId="0" xfId="0" applyFill="1"/>
    <xf numFmtId="0" fontId="2" fillId="5" borderId="0" xfId="0" applyFont="1" applyFill="1" applyAlignment="1">
      <alignment horizontal="center"/>
    </xf>
    <xf numFmtId="0" fontId="2" fillId="5" borderId="0" xfId="0" applyFont="1" applyFill="1" applyAlignment="1">
      <alignment horizontal="center" vertical="top"/>
    </xf>
    <xf numFmtId="0" fontId="16" fillId="0" borderId="0" xfId="0" applyFont="1"/>
    <xf numFmtId="1" fontId="11" fillId="0" borderId="0" xfId="0" applyNumberFormat="1" applyFont="1"/>
    <xf numFmtId="164" fontId="11" fillId="0" borderId="0" xfId="1" applyNumberFormat="1" applyFont="1"/>
    <xf numFmtId="0" fontId="11" fillId="0" borderId="0" xfId="0" applyFont="1"/>
    <xf numFmtId="3" fontId="2" fillId="2" borderId="5" xfId="0" applyNumberFormat="1" applyFont="1" applyFill="1" applyBorder="1" applyAlignment="1">
      <alignment horizontal="center"/>
    </xf>
    <xf numFmtId="3" fontId="2" fillId="2" borderId="5" xfId="0" applyNumberFormat="1" applyFont="1" applyFill="1" applyBorder="1" applyAlignment="1">
      <alignment horizontal="center"/>
    </xf>
    <xf numFmtId="3" fontId="11" fillId="0" borderId="0" xfId="1" applyNumberFormat="1" applyFont="1" applyFill="1" applyBorder="1" applyAlignment="1">
      <alignment horizontal="center"/>
    </xf>
    <xf numFmtId="0" fontId="11" fillId="0" borderId="0" xfId="0" applyFont="1" applyFill="1" applyBorder="1"/>
    <xf numFmtId="14" fontId="0" fillId="0" borderId="0" xfId="0" applyNumberFormat="1" applyAlignment="1">
      <alignment horizontal="left"/>
    </xf>
    <xf numFmtId="164" fontId="11" fillId="0" borderId="0" xfId="1" applyNumberFormat="1" applyFont="1" applyFill="1" applyBorder="1" applyAlignment="1">
      <alignment horizontal="center"/>
    </xf>
    <xf numFmtId="164" fontId="3" fillId="3" borderId="5" xfId="1" applyNumberFormat="1" applyFont="1" applyFill="1" applyBorder="1" applyAlignment="1">
      <alignment horizontal="center"/>
    </xf>
    <xf numFmtId="1" fontId="3" fillId="3" borderId="5" xfId="0" applyNumberFormat="1" applyFont="1" applyFill="1" applyBorder="1" applyAlignment="1">
      <alignment horizontal="center"/>
    </xf>
    <xf numFmtId="3" fontId="3" fillId="3" borderId="5" xfId="0" applyNumberFormat="1" applyFont="1" applyFill="1" applyBorder="1" applyAlignment="1">
      <alignment horizontal="center"/>
    </xf>
    <xf numFmtId="164" fontId="3" fillId="3" borderId="5" xfId="0" applyNumberFormat="1" applyFont="1" applyFill="1" applyBorder="1" applyAlignment="1">
      <alignment horizontal="center"/>
    </xf>
    <xf numFmtId="1" fontId="11" fillId="0" borderId="0" xfId="1" applyNumberFormat="1" applyFont="1" applyFill="1" applyBorder="1" applyAlignment="1">
      <alignment horizontal="center"/>
    </xf>
    <xf numFmtId="1" fontId="3" fillId="3" borderId="5" xfId="1" applyNumberFormat="1" applyFont="1" applyFill="1" applyBorder="1" applyAlignment="1">
      <alignment horizontal="center"/>
    </xf>
    <xf numFmtId="0" fontId="17" fillId="12" borderId="5" xfId="0" applyFont="1" applyFill="1" applyBorder="1" applyAlignment="1">
      <alignment horizontal="center"/>
    </xf>
    <xf numFmtId="3" fontId="17" fillId="12" borderId="5" xfId="0" applyNumberFormat="1" applyFont="1" applyFill="1" applyBorder="1" applyAlignment="1">
      <alignment horizontal="center"/>
    </xf>
    <xf numFmtId="164" fontId="17" fillId="12" borderId="5" xfId="0" applyNumberFormat="1" applyFont="1" applyFill="1" applyBorder="1" applyAlignment="1">
      <alignment horizontal="center"/>
    </xf>
    <xf numFmtId="1" fontId="17" fillId="12" borderId="5" xfId="0" applyNumberFormat="1" applyFont="1" applyFill="1" applyBorder="1" applyAlignment="1">
      <alignment horizontal="center"/>
    </xf>
    <xf numFmtId="164" fontId="17" fillId="12" borderId="5" xfId="1" applyNumberFormat="1" applyFont="1" applyFill="1" applyBorder="1" applyAlignment="1">
      <alignment horizontal="center"/>
    </xf>
    <xf numFmtId="3" fontId="17" fillId="12" borderId="5" xfId="1" applyNumberFormat="1" applyFont="1" applyFill="1" applyBorder="1" applyAlignment="1">
      <alignment horizontal="center"/>
    </xf>
    <xf numFmtId="3" fontId="2" fillId="2" borderId="5" xfId="0" applyNumberFormat="1" applyFont="1" applyFill="1" applyBorder="1" applyAlignment="1">
      <alignment horizontal="center"/>
    </xf>
    <xf numFmtId="49" fontId="2" fillId="2" borderId="5" xfId="0" applyNumberFormat="1" applyFont="1" applyFill="1" applyBorder="1" applyAlignment="1">
      <alignment horizontal="center"/>
    </xf>
    <xf numFmtId="164" fontId="11" fillId="10" borderId="0" xfId="1" applyNumberFormat="1" applyFont="1" applyFill="1" applyBorder="1" applyAlignment="1">
      <alignment horizontal="center"/>
    </xf>
    <xf numFmtId="0" fontId="4" fillId="0" borderId="0" xfId="0" applyFont="1" applyAlignment="1">
      <alignment horizontal="left" vertical="top"/>
    </xf>
    <xf numFmtId="0" fontId="3" fillId="10" borderId="0" xfId="0" applyFont="1" applyFill="1" applyBorder="1" applyAlignment="1">
      <alignment horizontal="center"/>
    </xf>
    <xf numFmtId="0" fontId="0" fillId="10" borderId="0" xfId="0" applyFont="1" applyFill="1" applyBorder="1" applyAlignment="1">
      <alignment horizontal="center"/>
    </xf>
    <xf numFmtId="0" fontId="0" fillId="0" borderId="0" xfId="0" applyAlignment="1">
      <alignment horizontal="center"/>
    </xf>
    <xf numFmtId="165" fontId="0" fillId="0" borderId="0" xfId="2" applyNumberFormat="1" applyFont="1"/>
    <xf numFmtId="14" fontId="0" fillId="0" borderId="0" xfId="0" applyNumberFormat="1"/>
    <xf numFmtId="1" fontId="2" fillId="0" borderId="0" xfId="0" applyNumberFormat="1" applyFont="1" applyAlignment="1">
      <alignment horizontal="left"/>
    </xf>
    <xf numFmtId="165" fontId="2" fillId="2" borderId="5" xfId="2" applyNumberFormat="1" applyFont="1" applyFill="1" applyBorder="1" applyAlignment="1">
      <alignment horizontal="center"/>
    </xf>
    <xf numFmtId="1" fontId="17" fillId="12" borderId="5" xfId="2" applyNumberFormat="1" applyFont="1" applyFill="1" applyBorder="1" applyAlignment="1">
      <alignment horizontal="center"/>
    </xf>
    <xf numFmtId="3" fontId="2" fillId="2" borderId="5" xfId="2" applyNumberFormat="1" applyFont="1" applyFill="1" applyBorder="1" applyAlignment="1">
      <alignment horizontal="center"/>
    </xf>
    <xf numFmtId="3" fontId="17" fillId="12" borderId="5" xfId="2" applyNumberFormat="1" applyFont="1" applyFill="1" applyBorder="1" applyAlignment="1">
      <alignment horizontal="center"/>
    </xf>
    <xf numFmtId="165" fontId="3" fillId="3" borderId="5" xfId="1" applyNumberFormat="1" applyFont="1" applyFill="1" applyBorder="1" applyAlignment="1">
      <alignment horizontal="center"/>
    </xf>
    <xf numFmtId="1" fontId="17" fillId="10" borderId="0" xfId="2" applyNumberFormat="1" applyFont="1" applyFill="1" applyBorder="1" applyAlignment="1">
      <alignment horizontal="center"/>
    </xf>
    <xf numFmtId="14" fontId="0" fillId="0" borderId="0" xfId="0" applyNumberFormat="1" applyAlignment="1">
      <alignment horizontal="center"/>
    </xf>
    <xf numFmtId="165" fontId="11" fillId="10" borderId="0" xfId="2" applyNumberFormat="1" applyFont="1" applyFill="1" applyBorder="1" applyAlignment="1">
      <alignment horizontal="center"/>
    </xf>
    <xf numFmtId="165" fontId="11" fillId="0" borderId="0" xfId="2" applyNumberFormat="1" applyFont="1"/>
    <xf numFmtId="0" fontId="7" fillId="0" borderId="0" xfId="0" applyFont="1" applyAlignment="1">
      <alignment vertical="top" wrapText="1"/>
    </xf>
    <xf numFmtId="3" fontId="14" fillId="2" borderId="5" xfId="0" applyNumberFormat="1" applyFont="1" applyFill="1" applyBorder="1" applyAlignment="1">
      <alignment horizontal="center"/>
    </xf>
    <xf numFmtId="0" fontId="6" fillId="0" borderId="0" xfId="0" applyFont="1" applyAlignment="1">
      <alignment horizontal="left" vertical="top" wrapText="1"/>
    </xf>
    <xf numFmtId="0" fontId="0" fillId="3" borderId="0" xfId="0" applyFill="1" applyAlignment="1">
      <alignment horizontal="left" vertical="center" wrapText="1"/>
    </xf>
    <xf numFmtId="0" fontId="15" fillId="11" borderId="0" xfId="0" applyFont="1" applyFill="1" applyAlignment="1">
      <alignment horizontal="center" vertical="center" textRotation="90"/>
    </xf>
    <xf numFmtId="0" fontId="7" fillId="0" borderId="0" xfId="0" applyFont="1" applyAlignment="1">
      <alignment horizontal="left" vertical="top" wrapText="1"/>
    </xf>
    <xf numFmtId="0" fontId="0" fillId="2" borderId="2" xfId="0" applyFont="1" applyFill="1" applyBorder="1" applyAlignment="1">
      <alignment horizontal="center"/>
    </xf>
    <xf numFmtId="0" fontId="0" fillId="2" borderId="3" xfId="0" applyFont="1" applyFill="1" applyBorder="1" applyAlignment="1">
      <alignment horizontal="center"/>
    </xf>
    <xf numFmtId="0" fontId="2" fillId="2" borderId="5" xfId="0" applyFont="1" applyFill="1" applyBorder="1" applyAlignment="1">
      <alignment horizontal="center"/>
    </xf>
    <xf numFmtId="0" fontId="3" fillId="3" borderId="5" xfId="0" applyFont="1" applyFill="1" applyBorder="1" applyAlignment="1">
      <alignment horizontal="center"/>
    </xf>
    <xf numFmtId="0" fontId="0" fillId="2" borderId="5"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3" borderId="4" xfId="0" applyFont="1" applyFill="1" applyBorder="1" applyAlignment="1">
      <alignment horizontal="center"/>
    </xf>
    <xf numFmtId="0" fontId="3" fillId="3" borderId="6" xfId="0" applyFont="1" applyFill="1" applyBorder="1" applyAlignment="1">
      <alignment horizontal="center"/>
    </xf>
    <xf numFmtId="0" fontId="3" fillId="3" borderId="7" xfId="0" applyFont="1" applyFill="1" applyBorder="1" applyAlignment="1">
      <alignment horizontal="center"/>
    </xf>
    <xf numFmtId="0" fontId="3" fillId="3" borderId="8" xfId="0" applyFont="1" applyFill="1" applyBorder="1" applyAlignment="1">
      <alignment horizontal="center"/>
    </xf>
    <xf numFmtId="0" fontId="4" fillId="0" borderId="0" xfId="0" applyFont="1" applyAlignment="1">
      <alignment horizontal="center"/>
    </xf>
    <xf numFmtId="3" fontId="2" fillId="2" borderId="5" xfId="0" applyNumberFormat="1" applyFont="1" applyFill="1" applyBorder="1" applyAlignment="1">
      <alignment horizontal="center"/>
    </xf>
    <xf numFmtId="3" fontId="2" fillId="2" borderId="6" xfId="0" applyNumberFormat="1" applyFont="1" applyFill="1" applyBorder="1" applyAlignment="1">
      <alignment horizontal="center"/>
    </xf>
    <xf numFmtId="3" fontId="2" fillId="2" borderId="7" xfId="0" applyNumberFormat="1" applyFont="1" applyFill="1" applyBorder="1" applyAlignment="1">
      <alignment horizontal="center"/>
    </xf>
    <xf numFmtId="3" fontId="2" fillId="2" borderId="8" xfId="0" applyNumberFormat="1" applyFont="1" applyFill="1" applyBorder="1" applyAlignment="1">
      <alignment horizontal="center"/>
    </xf>
    <xf numFmtId="2" fontId="2" fillId="2" borderId="5" xfId="0" applyNumberFormat="1" applyFont="1" applyFill="1" applyBorder="1" applyAlignment="1">
      <alignment horizontal="center"/>
    </xf>
    <xf numFmtId="0" fontId="2" fillId="5" borderId="0" xfId="0" applyFont="1" applyFill="1" applyAlignment="1">
      <alignment horizontal="center"/>
    </xf>
    <xf numFmtId="0" fontId="2" fillId="5" borderId="0" xfId="0" applyFont="1" applyFill="1" applyAlignment="1">
      <alignment horizontal="center" vertical="top"/>
    </xf>
    <xf numFmtId="0" fontId="0" fillId="0" borderId="0" xfId="0" applyAlignment="1">
      <alignment horizontal="center"/>
    </xf>
    <xf numFmtId="0" fontId="2" fillId="4" borderId="0" xfId="0" applyFont="1" applyFill="1" applyAlignment="1">
      <alignment horizontal="center"/>
    </xf>
  </cellXfs>
  <cellStyles count="3">
    <cellStyle name="Comma" xfId="2" builtinId="3"/>
    <cellStyle name="Normal" xfId="0" builtinId="0"/>
    <cellStyle name="Percent" xfId="1" builtinId="5"/>
  </cellStyles>
  <dxfs count="2">
    <dxf>
      <numFmt numFmtId="19" formatCode="dd/mm/yyyy"/>
    </dxf>
    <dxf>
      <numFmt numFmtId="19" formatCode="dd/mm/yyyy"/>
    </dxf>
  </dxfs>
  <tableStyles count="0" defaultTableStyle="TableStyleMedium2" defaultPivotStyle="PivotStyleLight16"/>
  <colors>
    <mruColors>
      <color rgb="FFEBD0F0"/>
      <color rgb="FF802E8E"/>
      <color rgb="FF802ED3"/>
      <color rgb="FFF79131"/>
      <color rgb="FF9DA6AB"/>
      <color rgb="FFD9FFFC"/>
      <color rgb="FFB9FFFA"/>
      <color rgb="FFCED8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57.xml"/><Relationship Id="rId21" Type="http://schemas.openxmlformats.org/officeDocument/2006/relationships/pivotCacheDefinition" Target="pivotCache/pivotCacheDefinition7.xml"/><Relationship Id="rId42" Type="http://schemas.openxmlformats.org/officeDocument/2006/relationships/pivotCacheDefinition" Target="pivotCache/pivotCacheDefinition28.xml"/><Relationship Id="rId63" Type="http://schemas.openxmlformats.org/officeDocument/2006/relationships/customXml" Target="../customXml/item3.xml"/><Relationship Id="rId84" Type="http://schemas.openxmlformats.org/officeDocument/2006/relationships/customXml" Target="../customXml/item24.xml"/><Relationship Id="rId16" Type="http://schemas.openxmlformats.org/officeDocument/2006/relationships/pivotCacheDefinition" Target="pivotCache/pivotCacheDefinition2.xml"/><Relationship Id="rId107" Type="http://schemas.openxmlformats.org/officeDocument/2006/relationships/customXml" Target="../customXml/item47.xml"/><Relationship Id="rId11" Type="http://schemas.openxmlformats.org/officeDocument/2006/relationships/worksheet" Target="worksheets/sheet11.xml"/><Relationship Id="rId32" Type="http://schemas.openxmlformats.org/officeDocument/2006/relationships/pivotCacheDefinition" Target="pivotCache/pivotCacheDefinition18.xml"/><Relationship Id="rId37" Type="http://schemas.openxmlformats.org/officeDocument/2006/relationships/pivotCacheDefinition" Target="pivotCache/pivotCacheDefinition23.xml"/><Relationship Id="rId53" Type="http://schemas.openxmlformats.org/officeDocument/2006/relationships/pivotCacheDefinition" Target="pivotCache/pivotCacheDefinition39.xml"/><Relationship Id="rId58" Type="http://schemas.openxmlformats.org/officeDocument/2006/relationships/sheetMetadata" Target="metadata.xml"/><Relationship Id="rId74" Type="http://schemas.openxmlformats.org/officeDocument/2006/relationships/customXml" Target="../customXml/item14.xml"/><Relationship Id="rId79" Type="http://schemas.openxmlformats.org/officeDocument/2006/relationships/customXml" Target="../customXml/item19.xml"/><Relationship Id="rId102" Type="http://schemas.openxmlformats.org/officeDocument/2006/relationships/customXml" Target="../customXml/item42.xml"/><Relationship Id="rId123" Type="http://schemas.openxmlformats.org/officeDocument/2006/relationships/customXml" Target="../customXml/item63.xml"/><Relationship Id="rId128" Type="http://schemas.openxmlformats.org/officeDocument/2006/relationships/customXml" Target="../customXml/item68.xml"/><Relationship Id="rId5" Type="http://schemas.openxmlformats.org/officeDocument/2006/relationships/worksheet" Target="worksheets/sheet5.xml"/><Relationship Id="rId90" Type="http://schemas.openxmlformats.org/officeDocument/2006/relationships/customXml" Target="../customXml/item30.xml"/><Relationship Id="rId95" Type="http://schemas.openxmlformats.org/officeDocument/2006/relationships/customXml" Target="../customXml/item35.xml"/><Relationship Id="rId22" Type="http://schemas.openxmlformats.org/officeDocument/2006/relationships/pivotCacheDefinition" Target="pivotCache/pivotCacheDefinition8.xml"/><Relationship Id="rId27" Type="http://schemas.openxmlformats.org/officeDocument/2006/relationships/pivotCacheDefinition" Target="pivotCache/pivotCacheDefinition13.xml"/><Relationship Id="rId43" Type="http://schemas.openxmlformats.org/officeDocument/2006/relationships/pivotCacheDefinition" Target="pivotCache/pivotCacheDefinition29.xml"/><Relationship Id="rId48" Type="http://schemas.openxmlformats.org/officeDocument/2006/relationships/pivotCacheDefinition" Target="pivotCache/pivotCacheDefinition34.xml"/><Relationship Id="rId64" Type="http://schemas.openxmlformats.org/officeDocument/2006/relationships/customXml" Target="../customXml/item4.xml"/><Relationship Id="rId69" Type="http://schemas.openxmlformats.org/officeDocument/2006/relationships/customXml" Target="../customXml/item9.xml"/><Relationship Id="rId113" Type="http://schemas.openxmlformats.org/officeDocument/2006/relationships/customXml" Target="../customXml/item53.xml"/><Relationship Id="rId118" Type="http://schemas.openxmlformats.org/officeDocument/2006/relationships/customXml" Target="../customXml/item58.xml"/><Relationship Id="rId134" Type="http://schemas.openxmlformats.org/officeDocument/2006/relationships/customXml" Target="../customXml/item74.xml"/><Relationship Id="rId80" Type="http://schemas.openxmlformats.org/officeDocument/2006/relationships/customXml" Target="../customXml/item20.xml"/><Relationship Id="rId85" Type="http://schemas.openxmlformats.org/officeDocument/2006/relationships/customXml" Target="../customXml/item25.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33" Type="http://schemas.openxmlformats.org/officeDocument/2006/relationships/pivotCacheDefinition" Target="pivotCache/pivotCacheDefinition19.xml"/><Relationship Id="rId38" Type="http://schemas.openxmlformats.org/officeDocument/2006/relationships/pivotCacheDefinition" Target="pivotCache/pivotCacheDefinition24.xml"/><Relationship Id="rId59" Type="http://schemas.openxmlformats.org/officeDocument/2006/relationships/powerPivotData" Target="model/item.data"/><Relationship Id="rId103" Type="http://schemas.openxmlformats.org/officeDocument/2006/relationships/customXml" Target="../customXml/item43.xml"/><Relationship Id="rId108" Type="http://schemas.openxmlformats.org/officeDocument/2006/relationships/customXml" Target="../customXml/item48.xml"/><Relationship Id="rId124" Type="http://schemas.openxmlformats.org/officeDocument/2006/relationships/customXml" Target="../customXml/item64.xml"/><Relationship Id="rId129" Type="http://schemas.openxmlformats.org/officeDocument/2006/relationships/customXml" Target="../customXml/item69.xml"/><Relationship Id="rId54" Type="http://schemas.openxmlformats.org/officeDocument/2006/relationships/theme" Target="theme/theme1.xml"/><Relationship Id="rId70" Type="http://schemas.openxmlformats.org/officeDocument/2006/relationships/customXml" Target="../customXml/item10.xml"/><Relationship Id="rId75" Type="http://schemas.openxmlformats.org/officeDocument/2006/relationships/customXml" Target="../customXml/item15.xml"/><Relationship Id="rId91" Type="http://schemas.openxmlformats.org/officeDocument/2006/relationships/customXml" Target="../customXml/item31.xml"/><Relationship Id="rId96" Type="http://schemas.openxmlformats.org/officeDocument/2006/relationships/customXml" Target="../customXml/item3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pivotCacheDefinition" Target="pivotCache/pivotCacheDefinition9.xml"/><Relationship Id="rId28" Type="http://schemas.openxmlformats.org/officeDocument/2006/relationships/pivotCacheDefinition" Target="pivotCache/pivotCacheDefinition14.xml"/><Relationship Id="rId49" Type="http://schemas.openxmlformats.org/officeDocument/2006/relationships/pivotCacheDefinition" Target="pivotCache/pivotCacheDefinition35.xml"/><Relationship Id="rId114" Type="http://schemas.openxmlformats.org/officeDocument/2006/relationships/customXml" Target="../customXml/item54.xml"/><Relationship Id="rId119" Type="http://schemas.openxmlformats.org/officeDocument/2006/relationships/customXml" Target="../customXml/item59.xml"/><Relationship Id="rId44" Type="http://schemas.openxmlformats.org/officeDocument/2006/relationships/pivotCacheDefinition" Target="pivotCache/pivotCacheDefinition30.xml"/><Relationship Id="rId60" Type="http://schemas.openxmlformats.org/officeDocument/2006/relationships/calcChain" Target="calcChain.xml"/><Relationship Id="rId65" Type="http://schemas.openxmlformats.org/officeDocument/2006/relationships/customXml" Target="../customXml/item5.xml"/><Relationship Id="rId81" Type="http://schemas.openxmlformats.org/officeDocument/2006/relationships/customXml" Target="../customXml/item21.xml"/><Relationship Id="rId86" Type="http://schemas.openxmlformats.org/officeDocument/2006/relationships/customXml" Target="../customXml/item26.xml"/><Relationship Id="rId130" Type="http://schemas.openxmlformats.org/officeDocument/2006/relationships/customXml" Target="../customXml/item70.xml"/><Relationship Id="rId135" Type="http://schemas.openxmlformats.org/officeDocument/2006/relationships/customXml" Target="../customXml/item75.xml"/><Relationship Id="rId13" Type="http://schemas.openxmlformats.org/officeDocument/2006/relationships/worksheet" Target="worksheets/sheet13.xml"/><Relationship Id="rId18" Type="http://schemas.openxmlformats.org/officeDocument/2006/relationships/pivotCacheDefinition" Target="pivotCache/pivotCacheDefinition4.xml"/><Relationship Id="rId39" Type="http://schemas.openxmlformats.org/officeDocument/2006/relationships/pivotCacheDefinition" Target="pivotCache/pivotCacheDefinition25.xml"/><Relationship Id="rId109" Type="http://schemas.openxmlformats.org/officeDocument/2006/relationships/customXml" Target="../customXml/item49.xml"/><Relationship Id="rId34" Type="http://schemas.openxmlformats.org/officeDocument/2006/relationships/pivotCacheDefinition" Target="pivotCache/pivotCacheDefinition20.xml"/><Relationship Id="rId50" Type="http://schemas.openxmlformats.org/officeDocument/2006/relationships/pivotCacheDefinition" Target="pivotCache/pivotCacheDefinition36.xml"/><Relationship Id="rId55" Type="http://schemas.openxmlformats.org/officeDocument/2006/relationships/connections" Target="connections.xml"/><Relationship Id="rId76" Type="http://schemas.openxmlformats.org/officeDocument/2006/relationships/customXml" Target="../customXml/item16.xml"/><Relationship Id="rId97" Type="http://schemas.openxmlformats.org/officeDocument/2006/relationships/customXml" Target="../customXml/item37.xml"/><Relationship Id="rId104" Type="http://schemas.openxmlformats.org/officeDocument/2006/relationships/customXml" Target="../customXml/item44.xml"/><Relationship Id="rId120" Type="http://schemas.openxmlformats.org/officeDocument/2006/relationships/customXml" Target="../customXml/item60.xml"/><Relationship Id="rId125" Type="http://schemas.openxmlformats.org/officeDocument/2006/relationships/customXml" Target="../customXml/item65.xml"/><Relationship Id="rId7" Type="http://schemas.openxmlformats.org/officeDocument/2006/relationships/worksheet" Target="worksheets/sheet7.xml"/><Relationship Id="rId71" Type="http://schemas.openxmlformats.org/officeDocument/2006/relationships/customXml" Target="../customXml/item11.xml"/><Relationship Id="rId92" Type="http://schemas.openxmlformats.org/officeDocument/2006/relationships/customXml" Target="../customXml/item32.xml"/><Relationship Id="rId2" Type="http://schemas.openxmlformats.org/officeDocument/2006/relationships/worksheet" Target="worksheets/sheet2.xml"/><Relationship Id="rId29" Type="http://schemas.openxmlformats.org/officeDocument/2006/relationships/pivotCacheDefinition" Target="pivotCache/pivotCacheDefinition15.xml"/><Relationship Id="rId24" Type="http://schemas.openxmlformats.org/officeDocument/2006/relationships/pivotCacheDefinition" Target="pivotCache/pivotCacheDefinition10.xml"/><Relationship Id="rId40" Type="http://schemas.openxmlformats.org/officeDocument/2006/relationships/pivotCacheDefinition" Target="pivotCache/pivotCacheDefinition26.xml"/><Relationship Id="rId45" Type="http://schemas.openxmlformats.org/officeDocument/2006/relationships/pivotCacheDefinition" Target="pivotCache/pivotCacheDefinition31.xml"/><Relationship Id="rId66" Type="http://schemas.openxmlformats.org/officeDocument/2006/relationships/customXml" Target="../customXml/item6.xml"/><Relationship Id="rId87" Type="http://schemas.openxmlformats.org/officeDocument/2006/relationships/customXml" Target="../customXml/item27.xml"/><Relationship Id="rId110" Type="http://schemas.openxmlformats.org/officeDocument/2006/relationships/customXml" Target="../customXml/item50.xml"/><Relationship Id="rId115" Type="http://schemas.openxmlformats.org/officeDocument/2006/relationships/customXml" Target="../customXml/item55.xml"/><Relationship Id="rId131" Type="http://schemas.openxmlformats.org/officeDocument/2006/relationships/customXml" Target="../customXml/item71.xml"/><Relationship Id="rId136" Type="http://schemas.openxmlformats.org/officeDocument/2006/relationships/customXml" Target="../customXml/item76.xml"/><Relationship Id="rId61" Type="http://schemas.openxmlformats.org/officeDocument/2006/relationships/customXml" Target="../customXml/item1.xml"/><Relationship Id="rId82" Type="http://schemas.openxmlformats.org/officeDocument/2006/relationships/customXml" Target="../customXml/item22.xml"/><Relationship Id="rId19" Type="http://schemas.openxmlformats.org/officeDocument/2006/relationships/pivotCacheDefinition" Target="pivotCache/pivotCacheDefinition5.xml"/><Relationship Id="rId14" Type="http://schemas.openxmlformats.org/officeDocument/2006/relationships/worksheet" Target="worksheets/sheet14.xml"/><Relationship Id="rId30" Type="http://schemas.openxmlformats.org/officeDocument/2006/relationships/pivotCacheDefinition" Target="pivotCache/pivotCacheDefinition16.xml"/><Relationship Id="rId35" Type="http://schemas.openxmlformats.org/officeDocument/2006/relationships/pivotCacheDefinition" Target="pivotCache/pivotCacheDefinition21.xml"/><Relationship Id="rId56" Type="http://schemas.openxmlformats.org/officeDocument/2006/relationships/styles" Target="styles.xml"/><Relationship Id="rId77" Type="http://schemas.openxmlformats.org/officeDocument/2006/relationships/customXml" Target="../customXml/item17.xml"/><Relationship Id="rId100" Type="http://schemas.openxmlformats.org/officeDocument/2006/relationships/customXml" Target="../customXml/item40.xml"/><Relationship Id="rId105" Type="http://schemas.openxmlformats.org/officeDocument/2006/relationships/customXml" Target="../customXml/item45.xml"/><Relationship Id="rId126" Type="http://schemas.openxmlformats.org/officeDocument/2006/relationships/customXml" Target="../customXml/item66.xml"/><Relationship Id="rId8" Type="http://schemas.openxmlformats.org/officeDocument/2006/relationships/worksheet" Target="worksheets/sheet8.xml"/><Relationship Id="rId51" Type="http://schemas.openxmlformats.org/officeDocument/2006/relationships/pivotCacheDefinition" Target="pivotCache/pivotCacheDefinition37.xml"/><Relationship Id="rId72" Type="http://schemas.openxmlformats.org/officeDocument/2006/relationships/customXml" Target="../customXml/item12.xml"/><Relationship Id="rId93" Type="http://schemas.openxmlformats.org/officeDocument/2006/relationships/customXml" Target="../customXml/item33.xml"/><Relationship Id="rId98" Type="http://schemas.openxmlformats.org/officeDocument/2006/relationships/customXml" Target="../customXml/item38.xml"/><Relationship Id="rId121" Type="http://schemas.openxmlformats.org/officeDocument/2006/relationships/customXml" Target="../customXml/item61.xml"/><Relationship Id="rId3" Type="http://schemas.openxmlformats.org/officeDocument/2006/relationships/worksheet" Target="worksheets/sheet3.xml"/><Relationship Id="rId25" Type="http://schemas.openxmlformats.org/officeDocument/2006/relationships/pivotCacheDefinition" Target="pivotCache/pivotCacheDefinition11.xml"/><Relationship Id="rId46" Type="http://schemas.openxmlformats.org/officeDocument/2006/relationships/pivotCacheDefinition" Target="pivotCache/pivotCacheDefinition32.xml"/><Relationship Id="rId67" Type="http://schemas.openxmlformats.org/officeDocument/2006/relationships/customXml" Target="../customXml/item7.xml"/><Relationship Id="rId116" Type="http://schemas.openxmlformats.org/officeDocument/2006/relationships/customXml" Target="../customXml/item56.xml"/><Relationship Id="rId137" Type="http://schemas.openxmlformats.org/officeDocument/2006/relationships/customXml" Target="../customXml/item77.xml"/><Relationship Id="rId20" Type="http://schemas.openxmlformats.org/officeDocument/2006/relationships/pivotCacheDefinition" Target="pivotCache/pivotCacheDefinition6.xml"/><Relationship Id="rId41" Type="http://schemas.openxmlformats.org/officeDocument/2006/relationships/pivotCacheDefinition" Target="pivotCache/pivotCacheDefinition27.xml"/><Relationship Id="rId62" Type="http://schemas.openxmlformats.org/officeDocument/2006/relationships/customXml" Target="../customXml/item2.xml"/><Relationship Id="rId83" Type="http://schemas.openxmlformats.org/officeDocument/2006/relationships/customXml" Target="../customXml/item23.xml"/><Relationship Id="rId88" Type="http://schemas.openxmlformats.org/officeDocument/2006/relationships/customXml" Target="../customXml/item28.xml"/><Relationship Id="rId111" Type="http://schemas.openxmlformats.org/officeDocument/2006/relationships/customXml" Target="../customXml/item51.xml"/><Relationship Id="rId132" Type="http://schemas.openxmlformats.org/officeDocument/2006/relationships/customXml" Target="../customXml/item72.xml"/><Relationship Id="rId15" Type="http://schemas.openxmlformats.org/officeDocument/2006/relationships/pivotCacheDefinition" Target="pivotCache/pivotCacheDefinition1.xml"/><Relationship Id="rId36" Type="http://schemas.openxmlformats.org/officeDocument/2006/relationships/pivotCacheDefinition" Target="pivotCache/pivotCacheDefinition22.xml"/><Relationship Id="rId57" Type="http://schemas.openxmlformats.org/officeDocument/2006/relationships/sharedStrings" Target="sharedStrings.xml"/><Relationship Id="rId106" Type="http://schemas.openxmlformats.org/officeDocument/2006/relationships/customXml" Target="../customXml/item46.xml"/><Relationship Id="rId127" Type="http://schemas.openxmlformats.org/officeDocument/2006/relationships/customXml" Target="../customXml/item67.xml"/><Relationship Id="rId10" Type="http://schemas.openxmlformats.org/officeDocument/2006/relationships/worksheet" Target="worksheets/sheet10.xml"/><Relationship Id="rId31" Type="http://schemas.openxmlformats.org/officeDocument/2006/relationships/pivotCacheDefinition" Target="pivotCache/pivotCacheDefinition17.xml"/><Relationship Id="rId52" Type="http://schemas.openxmlformats.org/officeDocument/2006/relationships/pivotCacheDefinition" Target="pivotCache/pivotCacheDefinition38.xml"/><Relationship Id="rId73" Type="http://schemas.openxmlformats.org/officeDocument/2006/relationships/customXml" Target="../customXml/item13.xml"/><Relationship Id="rId78" Type="http://schemas.openxmlformats.org/officeDocument/2006/relationships/customXml" Target="../customXml/item18.xml"/><Relationship Id="rId94" Type="http://schemas.openxmlformats.org/officeDocument/2006/relationships/customXml" Target="../customXml/item34.xml"/><Relationship Id="rId99" Type="http://schemas.openxmlformats.org/officeDocument/2006/relationships/customXml" Target="../customXml/item39.xml"/><Relationship Id="rId101" Type="http://schemas.openxmlformats.org/officeDocument/2006/relationships/customXml" Target="../customXml/item41.xml"/><Relationship Id="rId122" Type="http://schemas.openxmlformats.org/officeDocument/2006/relationships/customXml" Target="../customXml/item6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pivotCacheDefinition" Target="pivotCache/pivotCacheDefinition12.xml"/><Relationship Id="rId47" Type="http://schemas.openxmlformats.org/officeDocument/2006/relationships/pivotCacheDefinition" Target="pivotCache/pivotCacheDefinition33.xml"/><Relationship Id="rId68" Type="http://schemas.openxmlformats.org/officeDocument/2006/relationships/customXml" Target="../customXml/item8.xml"/><Relationship Id="rId89" Type="http://schemas.openxmlformats.org/officeDocument/2006/relationships/customXml" Target="../customXml/item29.xml"/><Relationship Id="rId112" Type="http://schemas.openxmlformats.org/officeDocument/2006/relationships/customXml" Target="../customXml/item52.xml"/><Relationship Id="rId133" Type="http://schemas.openxmlformats.org/officeDocument/2006/relationships/customXml" Target="../customXml/item73.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en-GB" sz="800">
                <a:latin typeface="+mn-lt"/>
              </a:rPr>
              <a:t>A&amp;E</a:t>
            </a:r>
            <a:r>
              <a:rPr lang="en-GB" sz="800" baseline="0">
                <a:latin typeface="+mn-lt"/>
              </a:rPr>
              <a:t> diverts</a:t>
            </a:r>
            <a:endParaRPr lang="en-GB" sz="800">
              <a:latin typeface="+mn-lt"/>
            </a:endParaRPr>
          </a:p>
        </c:rich>
      </c:tx>
      <c:layout>
        <c:manualLayout>
          <c:xMode val="edge"/>
          <c:yMode val="edge"/>
          <c:x val="0.10845315902950396"/>
          <c:y val="2.1421041534893527E-2"/>
        </c:manualLayout>
      </c:layout>
      <c:overlay val="1"/>
    </c:title>
    <c:autoTitleDeleted val="0"/>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c:f>
              <c:strCache>
                <c:ptCount val="1"/>
                <c:pt idx="0">
                  <c:v>20/21</c:v>
                </c:pt>
              </c:strCache>
            </c:strRef>
          </c:tx>
          <c:spPr>
            <a:solidFill>
              <a:srgbClr val="F79131"/>
            </a:solidFill>
            <a:ln w="19050"/>
          </c:spPr>
          <c:invertIfNegative val="0"/>
          <c:val>
            <c:numRef>
              <c:f>Summary!$D$8:$P$8</c:f>
              <c:numCache>
                <c:formatCode>General</c:formatCode>
                <c:ptCount val="13"/>
                <c:pt idx="0">
                  <c:v>18</c:v>
                </c:pt>
                <c:pt idx="1">
                  <c:v>44</c:v>
                </c:pt>
                <c:pt idx="2">
                  <c:v>26</c:v>
                </c:pt>
                <c:pt idx="3">
                  <c:v>22</c:v>
                </c:pt>
                <c:pt idx="4">
                  <c:v>20</c:v>
                </c:pt>
                <c:pt idx="5">
                  <c:v>25</c:v>
                </c:pt>
                <c:pt idx="6">
                  <c:v>15</c:v>
                </c:pt>
                <c:pt idx="7">
                  <c:v>24</c:v>
                </c:pt>
                <c:pt idx="8">
                  <c:v>14</c:v>
                </c:pt>
                <c:pt idx="9">
                  <c:v>13</c:v>
                </c:pt>
                <c:pt idx="10">
                  <c:v>18</c:v>
                </c:pt>
                <c:pt idx="11">
                  <c:v>22</c:v>
                </c:pt>
                <c:pt idx="12">
                  <c:v>17</c:v>
                </c:pt>
              </c:numCache>
            </c:numRef>
          </c:val>
          <c:extLst>
            <c:ext xmlns:c16="http://schemas.microsoft.com/office/drawing/2014/chart" uri="{C3380CC4-5D6E-409C-BE32-E72D297353CC}">
              <c16:uniqueId val="{00000000-466B-48BC-A04E-6E06E24EDF29}"/>
            </c:ext>
          </c:extLst>
        </c:ser>
        <c:dLbls>
          <c:showLegendKey val="0"/>
          <c:showVal val="0"/>
          <c:showCatName val="0"/>
          <c:showSerName val="0"/>
          <c:showPercent val="0"/>
          <c:showBubbleSize val="0"/>
        </c:dLbls>
        <c:gapWidth val="50"/>
        <c:axId val="201815168"/>
        <c:axId val="210947456"/>
      </c:barChart>
      <c:lineChart>
        <c:grouping val="standard"/>
        <c:varyColors val="0"/>
        <c:ser>
          <c:idx val="0"/>
          <c:order val="0"/>
          <c:tx>
            <c:strRef>
              <c:f>Summary!$C$6</c:f>
              <c:strCache>
                <c:ptCount val="1"/>
                <c:pt idx="0">
                  <c:v>19/20</c:v>
                </c:pt>
              </c:strCache>
            </c:strRef>
          </c:tx>
          <c:spPr>
            <a:ln w="25400">
              <a:solidFill>
                <a:srgbClr val="29398F"/>
              </a:solidFill>
              <a:prstDash val="dash"/>
            </a:ln>
          </c:spPr>
          <c:marker>
            <c:symbol val="none"/>
          </c:marker>
          <c:val>
            <c:numRef>
              <c:f>Summary!$D$6:$P$6</c:f>
              <c:numCache>
                <c:formatCode>General</c:formatCode>
                <c:ptCount val="13"/>
                <c:pt idx="0">
                  <c:v>28</c:v>
                </c:pt>
                <c:pt idx="1">
                  <c:v>24</c:v>
                </c:pt>
                <c:pt idx="2">
                  <c:v>23</c:v>
                </c:pt>
                <c:pt idx="3">
                  <c:v>20</c:v>
                </c:pt>
                <c:pt idx="4">
                  <c:v>28</c:v>
                </c:pt>
                <c:pt idx="5">
                  <c:v>27</c:v>
                </c:pt>
                <c:pt idx="6">
                  <c:v>20</c:v>
                </c:pt>
                <c:pt idx="7">
                  <c:v>25</c:v>
                </c:pt>
                <c:pt idx="8">
                  <c:v>14</c:v>
                </c:pt>
                <c:pt idx="9">
                  <c:v>26</c:v>
                </c:pt>
                <c:pt idx="10">
                  <c:v>32</c:v>
                </c:pt>
                <c:pt idx="11">
                  <c:v>22</c:v>
                </c:pt>
                <c:pt idx="12">
                  <c:v>24</c:v>
                </c:pt>
              </c:numCache>
            </c:numRef>
          </c:val>
          <c:smooth val="0"/>
          <c:extLst>
            <c:ext xmlns:c16="http://schemas.microsoft.com/office/drawing/2014/chart" uri="{C3380CC4-5D6E-409C-BE32-E72D297353CC}">
              <c16:uniqueId val="{00000001-466B-48BC-A04E-6E06E24EDF29}"/>
            </c:ext>
          </c:extLst>
        </c:ser>
        <c:ser>
          <c:idx val="2"/>
          <c:order val="2"/>
          <c:tx>
            <c:v>18/19</c:v>
          </c:tx>
          <c:spPr>
            <a:ln w="25400" cmpd="sng">
              <a:solidFill>
                <a:srgbClr val="00A89C"/>
              </a:solidFill>
              <a:prstDash val="sysDot"/>
            </a:ln>
          </c:spPr>
          <c:marker>
            <c:symbol val="none"/>
          </c:marker>
          <c:val>
            <c:numRef>
              <c:f>Summary!$D$7:$P$7</c:f>
              <c:numCache>
                <c:formatCode>General</c:formatCode>
                <c:ptCount val="13"/>
                <c:pt idx="0">
                  <c:v>25</c:v>
                </c:pt>
                <c:pt idx="1">
                  <c:v>30</c:v>
                </c:pt>
                <c:pt idx="2">
                  <c:v>15</c:v>
                </c:pt>
                <c:pt idx="3">
                  <c:v>17</c:v>
                </c:pt>
                <c:pt idx="4">
                  <c:v>17</c:v>
                </c:pt>
                <c:pt idx="5">
                  <c:v>38</c:v>
                </c:pt>
                <c:pt idx="6">
                  <c:v>35</c:v>
                </c:pt>
                <c:pt idx="7">
                  <c:v>25</c:v>
                </c:pt>
                <c:pt idx="8">
                  <c:v>13</c:v>
                </c:pt>
                <c:pt idx="9">
                  <c:v>25</c:v>
                </c:pt>
                <c:pt idx="10">
                  <c:v>17</c:v>
                </c:pt>
                <c:pt idx="11">
                  <c:v>17</c:v>
                </c:pt>
                <c:pt idx="12">
                  <c:v>18</c:v>
                </c:pt>
              </c:numCache>
            </c:numRef>
          </c:val>
          <c:smooth val="0"/>
          <c:extLst>
            <c:ext xmlns:c16="http://schemas.microsoft.com/office/drawing/2014/chart" uri="{C3380CC4-5D6E-409C-BE32-E72D297353CC}">
              <c16:uniqueId val="{00000002-466B-48BC-A04E-6E06E24EDF29}"/>
            </c:ext>
          </c:extLst>
        </c:ser>
        <c:dLbls>
          <c:showLegendKey val="0"/>
          <c:showVal val="0"/>
          <c:showCatName val="0"/>
          <c:showSerName val="0"/>
          <c:showPercent val="0"/>
          <c:showBubbleSize val="0"/>
        </c:dLbls>
        <c:marker val="1"/>
        <c:smooth val="0"/>
        <c:axId val="201815168"/>
        <c:axId val="210947456"/>
      </c:lineChart>
      <c:catAx>
        <c:axId val="201815168"/>
        <c:scaling>
          <c:orientation val="minMax"/>
        </c:scaling>
        <c:delete val="0"/>
        <c:axPos val="b"/>
        <c:title>
          <c:tx>
            <c:rich>
              <a:bodyPr/>
              <a:lstStyle/>
              <a:p>
                <a:pPr>
                  <a:defRPr/>
                </a:pPr>
                <a:r>
                  <a:rPr lang="en-US"/>
                  <a:t>Week</a:t>
                </a:r>
              </a:p>
            </c:rich>
          </c:tx>
          <c:overlay val="0"/>
        </c:title>
        <c:numFmt formatCode="General" sourceLinked="0"/>
        <c:majorTickMark val="out"/>
        <c:minorTickMark val="none"/>
        <c:tickLblPos val="nextTo"/>
        <c:spPr>
          <a:ln w="3175">
            <a:solidFill>
              <a:srgbClr val="9DA6AB"/>
            </a:solidFill>
          </a:ln>
        </c:spPr>
        <c:txPr>
          <a:bodyPr/>
          <a:lstStyle/>
          <a:p>
            <a:pPr>
              <a:defRPr sz="800" b="1"/>
            </a:pPr>
            <a:endParaRPr lang="en-US"/>
          </a:p>
        </c:txPr>
        <c:crossAx val="210947456"/>
        <c:crosses val="autoZero"/>
        <c:auto val="1"/>
        <c:lblAlgn val="ctr"/>
        <c:lblOffset val="100"/>
        <c:noMultiLvlLbl val="0"/>
      </c:catAx>
      <c:valAx>
        <c:axId val="210947456"/>
        <c:scaling>
          <c:orientation val="minMax"/>
        </c:scaling>
        <c:delete val="0"/>
        <c:axPos val="l"/>
        <c:numFmt formatCode="General" sourceLinked="1"/>
        <c:majorTickMark val="out"/>
        <c:minorTickMark val="none"/>
        <c:tickLblPos val="nextTo"/>
        <c:spPr>
          <a:ln w="50800">
            <a:solidFill>
              <a:srgbClr val="CED8DD"/>
            </a:solidFill>
          </a:ln>
        </c:spPr>
        <c:txPr>
          <a:bodyPr/>
          <a:lstStyle/>
          <a:p>
            <a:pPr>
              <a:defRPr sz="800" b="1"/>
            </a:pPr>
            <a:endParaRPr lang="en-US"/>
          </a:p>
        </c:txPr>
        <c:crossAx val="201815168"/>
        <c:crosses val="autoZero"/>
        <c:crossBetween val="between"/>
      </c:valAx>
    </c:plotArea>
    <c:legend>
      <c:legendPos val="r"/>
      <c:layout>
        <c:manualLayout>
          <c:xMode val="edge"/>
          <c:yMode val="edge"/>
          <c:x val="0.45946238005719103"/>
          <c:y val="7.8916297701876453E-3"/>
          <c:w val="0.53460784776558379"/>
          <c:h val="0.1312426734134513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0"/>
          <c:tx>
            <c:strRef>
              <c:f>Summary!$C$252</c:f>
              <c:strCache>
                <c:ptCount val="1"/>
                <c:pt idx="0">
                  <c:v>20/21</c:v>
                </c:pt>
              </c:strCache>
            </c:strRef>
          </c:tx>
          <c:spPr>
            <a:solidFill>
              <a:srgbClr val="F79131"/>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Summary!$D$252:$P$252</c:f>
              <c:numCache>
                <c:formatCode>#,##0</c:formatCode>
                <c:ptCount val="13"/>
                <c:pt idx="0">
                  <c:v>90215</c:v>
                </c:pt>
                <c:pt idx="1">
                  <c:v>90368</c:v>
                </c:pt>
                <c:pt idx="2">
                  <c:v>89023</c:v>
                </c:pt>
                <c:pt idx="3">
                  <c:v>86465</c:v>
                </c:pt>
                <c:pt idx="4">
                  <c:v>91303</c:v>
                </c:pt>
                <c:pt idx="5">
                  <c:v>86056</c:v>
                </c:pt>
                <c:pt idx="6">
                  <c:v>86050</c:v>
                </c:pt>
                <c:pt idx="7">
                  <c:v>88787</c:v>
                </c:pt>
                <c:pt idx="8">
                  <c:v>88595</c:v>
                </c:pt>
                <c:pt idx="9">
                  <c:v>87081</c:v>
                </c:pt>
                <c:pt idx="10">
                  <c:v>85028</c:v>
                </c:pt>
                <c:pt idx="11">
                  <c:v>90467</c:v>
                </c:pt>
                <c:pt idx="12">
                  <c:v>88075</c:v>
                </c:pt>
              </c:numCache>
            </c:numRef>
          </c:val>
          <c:extLst>
            <c:ext xmlns:c16="http://schemas.microsoft.com/office/drawing/2014/chart" uri="{C3380CC4-5D6E-409C-BE32-E72D297353CC}">
              <c16:uniqueId val="{00000000-1CD8-4875-8109-8C26E4681454}"/>
            </c:ext>
          </c:extLst>
        </c:ser>
        <c:dLbls>
          <c:showLegendKey val="0"/>
          <c:showVal val="0"/>
          <c:showCatName val="0"/>
          <c:showSerName val="0"/>
          <c:showPercent val="0"/>
          <c:showBubbleSize val="0"/>
        </c:dLbls>
        <c:gapWidth val="50"/>
        <c:axId val="561978752"/>
        <c:axId val="561982848"/>
      </c:barChart>
      <c:lineChart>
        <c:grouping val="standard"/>
        <c:varyColors val="0"/>
        <c:ser>
          <c:idx val="0"/>
          <c:order val="1"/>
          <c:tx>
            <c:strRef>
              <c:f>Summary!$C$250</c:f>
              <c:strCache>
                <c:ptCount val="1"/>
                <c:pt idx="0">
                  <c:v>19/20</c:v>
                </c:pt>
              </c:strCache>
            </c:strRef>
          </c:tx>
          <c:spPr>
            <a:ln w="25400">
              <a:solidFill>
                <a:srgbClr val="29398F"/>
              </a:solidFill>
              <a:prstDash val="dash"/>
            </a:ln>
          </c:spPr>
          <c:marker>
            <c:symbol val="none"/>
          </c:marker>
          <c:val>
            <c:numRef>
              <c:f>Summary!$D$250:$P$250</c:f>
              <c:numCache>
                <c:formatCode>#,##0</c:formatCode>
                <c:ptCount val="13"/>
                <c:pt idx="0">
                  <c:v>100129</c:v>
                </c:pt>
                <c:pt idx="1">
                  <c:v>99958</c:v>
                </c:pt>
                <c:pt idx="2">
                  <c:v>100884</c:v>
                </c:pt>
                <c:pt idx="3">
                  <c:v>98558</c:v>
                </c:pt>
                <c:pt idx="4">
                  <c:v>100569</c:v>
                </c:pt>
                <c:pt idx="5">
                  <c:v>95738</c:v>
                </c:pt>
                <c:pt idx="6">
                  <c:v>94512</c:v>
                </c:pt>
                <c:pt idx="7">
                  <c:v>93701</c:v>
                </c:pt>
                <c:pt idx="8">
                  <c:v>96519</c:v>
                </c:pt>
                <c:pt idx="9">
                  <c:v>93938</c:v>
                </c:pt>
                <c:pt idx="10">
                  <c:v>94510</c:v>
                </c:pt>
                <c:pt idx="11">
                  <c:v>94740</c:v>
                </c:pt>
                <c:pt idx="12">
                  <c:v>93874</c:v>
                </c:pt>
              </c:numCache>
            </c:numRef>
          </c:val>
          <c:smooth val="0"/>
          <c:extLst>
            <c:ext xmlns:c16="http://schemas.microsoft.com/office/drawing/2014/chart" uri="{C3380CC4-5D6E-409C-BE32-E72D297353CC}">
              <c16:uniqueId val="{00000001-1CD8-4875-8109-8C26E4681454}"/>
            </c:ext>
          </c:extLst>
        </c:ser>
        <c:ser>
          <c:idx val="2"/>
          <c:order val="2"/>
          <c:tx>
            <c:v>18/19</c:v>
          </c:tx>
          <c:spPr>
            <a:ln w="25400">
              <a:solidFill>
                <a:srgbClr val="00A89C"/>
              </a:solidFill>
              <a:prstDash val="sysDot"/>
            </a:ln>
          </c:spPr>
          <c:marker>
            <c:symbol val="none"/>
          </c:marker>
          <c:val>
            <c:numRef>
              <c:f>Summary!$D$249:$P$249</c:f>
              <c:numCache>
                <c:formatCode>General</c:formatCode>
                <c:ptCount val="13"/>
                <c:pt idx="0">
                  <c:v>97472</c:v>
                </c:pt>
                <c:pt idx="1">
                  <c:v>96284</c:v>
                </c:pt>
                <c:pt idx="2">
                  <c:v>99091</c:v>
                </c:pt>
                <c:pt idx="3">
                  <c:v>99156</c:v>
                </c:pt>
                <c:pt idx="4">
                  <c:v>101949</c:v>
                </c:pt>
                <c:pt idx="5">
                  <c:v>98751</c:v>
                </c:pt>
                <c:pt idx="6">
                  <c:v>97577</c:v>
                </c:pt>
                <c:pt idx="7">
                  <c:v>98072</c:v>
                </c:pt>
                <c:pt idx="8">
                  <c:v>97620</c:v>
                </c:pt>
                <c:pt idx="9">
                  <c:v>99971</c:v>
                </c:pt>
                <c:pt idx="10">
                  <c:v>98237</c:v>
                </c:pt>
                <c:pt idx="11">
                  <c:v>95289</c:v>
                </c:pt>
                <c:pt idx="12">
                  <c:v>93927</c:v>
                </c:pt>
              </c:numCache>
            </c:numRef>
          </c:val>
          <c:smooth val="0"/>
          <c:extLst>
            <c:ext xmlns:c16="http://schemas.microsoft.com/office/drawing/2014/chart" uri="{C3380CC4-5D6E-409C-BE32-E72D297353CC}">
              <c16:uniqueId val="{00000002-1CD8-4875-8109-8C26E4681454}"/>
            </c:ext>
          </c:extLst>
        </c:ser>
        <c:dLbls>
          <c:showLegendKey val="0"/>
          <c:showVal val="0"/>
          <c:showCatName val="0"/>
          <c:showSerName val="0"/>
          <c:showPercent val="0"/>
          <c:showBubbleSize val="0"/>
        </c:dLbls>
        <c:marker val="1"/>
        <c:smooth val="0"/>
        <c:axId val="561978752"/>
        <c:axId val="561982848"/>
      </c:lineChart>
      <c:catAx>
        <c:axId val="561978752"/>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61982848"/>
        <c:crosses val="autoZero"/>
        <c:auto val="1"/>
        <c:lblAlgn val="ctr"/>
        <c:lblOffset val="100"/>
        <c:noMultiLvlLbl val="0"/>
      </c:catAx>
      <c:valAx>
        <c:axId val="561982848"/>
        <c:scaling>
          <c:orientation val="minMax"/>
          <c:min val="6000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561978752"/>
        <c:crosses val="autoZero"/>
        <c:crossBetween val="between"/>
        <c:majorUnit val="5000"/>
      </c:valAx>
    </c:plotArea>
    <c:legend>
      <c:legendPos val="r"/>
      <c:layout>
        <c:manualLayout>
          <c:xMode val="edge"/>
          <c:yMode val="edge"/>
          <c:x val="0.39608259493879056"/>
          <c:y val="3.1773672521704034E-3"/>
          <c:w val="0.59203520612555005"/>
          <c:h val="8.2434102633722514E-2"/>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71388888888889"/>
          <c:y val="6.2453703703703713E-2"/>
          <c:w val="0.8813563888888889"/>
          <c:h val="0.74377762365196576"/>
        </c:manualLayout>
      </c:layout>
      <c:barChart>
        <c:barDir val="col"/>
        <c:grouping val="clustered"/>
        <c:varyColors val="0"/>
        <c:ser>
          <c:idx val="1"/>
          <c:order val="0"/>
          <c:tx>
            <c:strRef>
              <c:f>Summary!$C$276</c:f>
              <c:strCache>
                <c:ptCount val="1"/>
                <c:pt idx="0">
                  <c:v>20/21</c:v>
                </c:pt>
              </c:strCache>
            </c:strRef>
          </c:tx>
          <c:spPr>
            <a:solidFill>
              <a:srgbClr val="F79131"/>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Summary!$D$276:$P$276</c:f>
              <c:numCache>
                <c:formatCode>0.0%</c:formatCode>
                <c:ptCount val="13"/>
                <c:pt idx="0">
                  <c:v>2.7201684863936152E-2</c:v>
                </c:pt>
                <c:pt idx="1">
                  <c:v>4.7505754249291786E-2</c:v>
                </c:pt>
                <c:pt idx="2">
                  <c:v>4.7257450321826946E-2</c:v>
                </c:pt>
                <c:pt idx="3">
                  <c:v>2.954952871103915E-2</c:v>
                </c:pt>
                <c:pt idx="4">
                  <c:v>5.8245621721082552E-2</c:v>
                </c:pt>
                <c:pt idx="5">
                  <c:v>6.4062935762759135E-2</c:v>
                </c:pt>
                <c:pt idx="6">
                  <c:v>3.8733294596165022E-2</c:v>
                </c:pt>
                <c:pt idx="7">
                  <c:v>3.6976133893475399E-2</c:v>
                </c:pt>
                <c:pt idx="8">
                  <c:v>2.6401038433320166E-2</c:v>
                </c:pt>
                <c:pt idx="9">
                  <c:v>1.9074195289443163E-2</c:v>
                </c:pt>
                <c:pt idx="10">
                  <c:v>1.0443618572705461E-2</c:v>
                </c:pt>
                <c:pt idx="11">
                  <c:v>2.1256369725977428E-2</c:v>
                </c:pt>
                <c:pt idx="12">
                  <c:v>1.8098211751348282E-2</c:v>
                </c:pt>
              </c:numCache>
            </c:numRef>
          </c:val>
          <c:extLst>
            <c:ext xmlns:c16="http://schemas.microsoft.com/office/drawing/2014/chart" uri="{C3380CC4-5D6E-409C-BE32-E72D297353CC}">
              <c16:uniqueId val="{00000000-AEB2-439C-9286-9EDB20708B64}"/>
            </c:ext>
          </c:extLst>
        </c:ser>
        <c:dLbls>
          <c:showLegendKey val="0"/>
          <c:showVal val="0"/>
          <c:showCatName val="0"/>
          <c:showSerName val="0"/>
          <c:showPercent val="0"/>
          <c:showBubbleSize val="0"/>
        </c:dLbls>
        <c:gapWidth val="50"/>
        <c:axId val="562204672"/>
        <c:axId val="562207744"/>
      </c:barChart>
      <c:lineChart>
        <c:grouping val="standard"/>
        <c:varyColors val="0"/>
        <c:ser>
          <c:idx val="0"/>
          <c:order val="1"/>
          <c:tx>
            <c:strRef>
              <c:f>Summary!$C$274</c:f>
              <c:strCache>
                <c:ptCount val="1"/>
                <c:pt idx="0">
                  <c:v>19/20</c:v>
                </c:pt>
              </c:strCache>
            </c:strRef>
          </c:tx>
          <c:spPr>
            <a:ln w="25400">
              <a:solidFill>
                <a:srgbClr val="29398F"/>
              </a:solidFill>
              <a:prstDash val="sysDash"/>
            </a:ln>
          </c:spPr>
          <c:marker>
            <c:symbol val="none"/>
          </c:marker>
          <c:val>
            <c:numRef>
              <c:f>Summary!$D$274:$P$274</c:f>
              <c:numCache>
                <c:formatCode>0.0%</c:formatCode>
                <c:ptCount val="13"/>
                <c:pt idx="0">
                  <c:v>3.1749043733583678E-2</c:v>
                </c:pt>
                <c:pt idx="1">
                  <c:v>4.4708777686628384E-2</c:v>
                </c:pt>
                <c:pt idx="2">
                  <c:v>4.9462749296221402E-2</c:v>
                </c:pt>
                <c:pt idx="3">
                  <c:v>3.6506422614095251E-2</c:v>
                </c:pt>
                <c:pt idx="4">
                  <c:v>5.3962950809891719E-2</c:v>
                </c:pt>
                <c:pt idx="5">
                  <c:v>4.3859282625498756E-2</c:v>
                </c:pt>
                <c:pt idx="6">
                  <c:v>2.7287540206534618E-2</c:v>
                </c:pt>
                <c:pt idx="7">
                  <c:v>2.0383987364062283E-2</c:v>
                </c:pt>
                <c:pt idx="8">
                  <c:v>3.035671733026658E-2</c:v>
                </c:pt>
                <c:pt idx="9">
                  <c:v>2.4111648108326767E-2</c:v>
                </c:pt>
                <c:pt idx="10">
                  <c:v>2.2643106549571475E-2</c:v>
                </c:pt>
                <c:pt idx="11">
                  <c:v>2.096263457884737E-2</c:v>
                </c:pt>
                <c:pt idx="12">
                  <c:v>2.56727102286043E-2</c:v>
                </c:pt>
              </c:numCache>
            </c:numRef>
          </c:val>
          <c:smooth val="0"/>
          <c:extLst>
            <c:ext xmlns:c16="http://schemas.microsoft.com/office/drawing/2014/chart" uri="{C3380CC4-5D6E-409C-BE32-E72D297353CC}">
              <c16:uniqueId val="{00000001-AEB2-439C-9286-9EDB20708B64}"/>
            </c:ext>
          </c:extLst>
        </c:ser>
        <c:ser>
          <c:idx val="2"/>
          <c:order val="2"/>
          <c:tx>
            <c:v>18/19</c:v>
          </c:tx>
          <c:spPr>
            <a:ln w="25400">
              <a:solidFill>
                <a:srgbClr val="00A89C"/>
              </a:solidFill>
              <a:prstDash val="sysDot"/>
            </a:ln>
          </c:spPr>
          <c:marker>
            <c:symbol val="none"/>
          </c:marker>
          <c:val>
            <c:numRef>
              <c:f>Summary!$D$273:$P$273</c:f>
              <c:numCache>
                <c:formatCode>0.0%</c:formatCode>
                <c:ptCount val="13"/>
                <c:pt idx="0">
                  <c:v>1.9892892317793828E-2</c:v>
                </c:pt>
                <c:pt idx="1">
                  <c:v>1.5485438909891571E-2</c:v>
                </c:pt>
                <c:pt idx="2">
                  <c:v>1.7599983853225823E-2</c:v>
                </c:pt>
                <c:pt idx="3">
                  <c:v>1.8455766670700716E-2</c:v>
                </c:pt>
                <c:pt idx="4">
                  <c:v>2.9289154381112126E-2</c:v>
                </c:pt>
                <c:pt idx="5">
                  <c:v>2.804022237749491E-2</c:v>
                </c:pt>
                <c:pt idx="6">
                  <c:v>2.3868329626858788E-2</c:v>
                </c:pt>
                <c:pt idx="7">
                  <c:v>2.5999999999999999E-2</c:v>
                </c:pt>
                <c:pt idx="8">
                  <c:v>2.6849006351157549E-2</c:v>
                </c:pt>
                <c:pt idx="9">
                  <c:v>3.0728911384301446E-2</c:v>
                </c:pt>
                <c:pt idx="10">
                  <c:v>2.4888789356352494E-2</c:v>
                </c:pt>
                <c:pt idx="11">
                  <c:v>2.2353052293549096E-2</c:v>
                </c:pt>
                <c:pt idx="12">
                  <c:v>1.8184334642860945E-2</c:v>
                </c:pt>
              </c:numCache>
            </c:numRef>
          </c:val>
          <c:smooth val="0"/>
          <c:extLst>
            <c:ext xmlns:c16="http://schemas.microsoft.com/office/drawing/2014/chart" uri="{C3380CC4-5D6E-409C-BE32-E72D297353CC}">
              <c16:uniqueId val="{00000002-AEB2-439C-9286-9EDB20708B64}"/>
            </c:ext>
          </c:extLst>
        </c:ser>
        <c:dLbls>
          <c:showLegendKey val="0"/>
          <c:showVal val="0"/>
          <c:showCatName val="0"/>
          <c:showSerName val="0"/>
          <c:showPercent val="0"/>
          <c:showBubbleSize val="0"/>
        </c:dLbls>
        <c:marker val="1"/>
        <c:smooth val="0"/>
        <c:axId val="562204672"/>
        <c:axId val="562207744"/>
      </c:lineChart>
      <c:catAx>
        <c:axId val="562204672"/>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62207744"/>
        <c:crosses val="autoZero"/>
        <c:auto val="1"/>
        <c:lblAlgn val="ctr"/>
        <c:lblOffset val="100"/>
        <c:noMultiLvlLbl val="0"/>
      </c:catAx>
      <c:valAx>
        <c:axId val="562207744"/>
        <c:scaling>
          <c:orientation val="minMax"/>
        </c:scaling>
        <c:delete val="0"/>
        <c:axPos val="l"/>
        <c:numFmt formatCode="0.0%" sourceLinked="0"/>
        <c:majorTickMark val="none"/>
        <c:minorTickMark val="none"/>
        <c:tickLblPos val="nextTo"/>
        <c:spPr>
          <a:ln w="50800">
            <a:solidFill>
              <a:srgbClr val="CED8DD"/>
            </a:solidFill>
          </a:ln>
        </c:spPr>
        <c:txPr>
          <a:bodyPr/>
          <a:lstStyle/>
          <a:p>
            <a:pPr>
              <a:defRPr sz="800" b="1"/>
            </a:pPr>
            <a:endParaRPr lang="en-US"/>
          </a:p>
        </c:txPr>
        <c:crossAx val="562204672"/>
        <c:crosses val="autoZero"/>
        <c:crossBetween val="between"/>
      </c:valAx>
    </c:plotArea>
    <c:legend>
      <c:legendPos val="r"/>
      <c:layout>
        <c:manualLayout>
          <c:xMode val="edge"/>
          <c:yMode val="edge"/>
          <c:x val="0.47165219753173893"/>
          <c:y val="1.5619097468803593E-2"/>
          <c:w val="0.52065696475070744"/>
          <c:h val="0.1191588372189648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Summary!$C$52</c:f>
              <c:strCache>
                <c:ptCount val="1"/>
                <c:pt idx="0">
                  <c:v>20/21</c:v>
                </c:pt>
              </c:strCache>
            </c:strRef>
          </c:tx>
          <c:spPr>
            <a:solidFill>
              <a:srgbClr val="F79131"/>
            </a:solidFill>
          </c:spPr>
          <c:invertIfNegative val="0"/>
          <c:val>
            <c:numRef>
              <c:f>Summary!$D$52:$P$52</c:f>
              <c:numCache>
                <c:formatCode>#,##0</c:formatCode>
                <c:ptCount val="13"/>
                <c:pt idx="0">
                  <c:v>88947.428571428565</c:v>
                </c:pt>
                <c:pt idx="1">
                  <c:v>89394.142857142855</c:v>
                </c:pt>
                <c:pt idx="2">
                  <c:v>89677.571428571435</c:v>
                </c:pt>
                <c:pt idx="3">
                  <c:v>88347.428571428565</c:v>
                </c:pt>
                <c:pt idx="4">
                  <c:v>89398.857142857145</c:v>
                </c:pt>
                <c:pt idx="5">
                  <c:v>90884.571428571435</c:v>
                </c:pt>
                <c:pt idx="6">
                  <c:v>90895.428571428565</c:v>
                </c:pt>
                <c:pt idx="7">
                  <c:v>90505.571428571435</c:v>
                </c:pt>
                <c:pt idx="8">
                  <c:v>90643.142857142855</c:v>
                </c:pt>
                <c:pt idx="9">
                  <c:v>90539</c:v>
                </c:pt>
                <c:pt idx="10">
                  <c:v>89811.571428571435</c:v>
                </c:pt>
                <c:pt idx="11">
                  <c:v>89457.571428571435</c:v>
                </c:pt>
                <c:pt idx="12">
                  <c:v>89619.142857142855</c:v>
                </c:pt>
              </c:numCache>
            </c:numRef>
          </c:val>
          <c:extLst>
            <c:ext xmlns:c16="http://schemas.microsoft.com/office/drawing/2014/chart" uri="{C3380CC4-5D6E-409C-BE32-E72D297353CC}">
              <c16:uniqueId val="{00000000-C4E5-4C27-B463-332B80ADCEDA}"/>
            </c:ext>
          </c:extLst>
        </c:ser>
        <c:dLbls>
          <c:showLegendKey val="0"/>
          <c:showVal val="0"/>
          <c:showCatName val="0"/>
          <c:showSerName val="0"/>
          <c:showPercent val="0"/>
          <c:showBubbleSize val="0"/>
        </c:dLbls>
        <c:gapWidth val="50"/>
        <c:axId val="563149440"/>
        <c:axId val="563173632"/>
      </c:barChart>
      <c:lineChart>
        <c:grouping val="standard"/>
        <c:varyColors val="0"/>
        <c:ser>
          <c:idx val="0"/>
          <c:order val="0"/>
          <c:tx>
            <c:strRef>
              <c:f>Summary!$C$50</c:f>
              <c:strCache>
                <c:ptCount val="1"/>
                <c:pt idx="0">
                  <c:v>19/20</c:v>
                </c:pt>
              </c:strCache>
            </c:strRef>
          </c:tx>
          <c:spPr>
            <a:ln w="25400">
              <a:solidFill>
                <a:srgbClr val="29398F"/>
              </a:solidFill>
              <a:prstDash val="dash"/>
            </a:ln>
          </c:spPr>
          <c:marker>
            <c:symbol val="none"/>
          </c:marker>
          <c:val>
            <c:numRef>
              <c:f>Summary!$D$50:$P$50</c:f>
              <c:numCache>
                <c:formatCode>#,##0</c:formatCode>
                <c:ptCount val="13"/>
                <c:pt idx="0">
                  <c:v>96675</c:v>
                </c:pt>
                <c:pt idx="1">
                  <c:v>97067.71428571429</c:v>
                </c:pt>
                <c:pt idx="2">
                  <c:v>97017.857142857145</c:v>
                </c:pt>
                <c:pt idx="3">
                  <c:v>95816.71428571429</c:v>
                </c:pt>
                <c:pt idx="4">
                  <c:v>97143.142857142855</c:v>
                </c:pt>
                <c:pt idx="5">
                  <c:v>98417.571428571435</c:v>
                </c:pt>
                <c:pt idx="6">
                  <c:v>98204</c:v>
                </c:pt>
                <c:pt idx="7">
                  <c:v>97990</c:v>
                </c:pt>
                <c:pt idx="8">
                  <c:v>98031.142857142855</c:v>
                </c:pt>
                <c:pt idx="9">
                  <c:v>97854.71428571429</c:v>
                </c:pt>
                <c:pt idx="10">
                  <c:v>97860.142857142855</c:v>
                </c:pt>
                <c:pt idx="11">
                  <c:v>97790.28571428571</c:v>
                </c:pt>
                <c:pt idx="12">
                  <c:v>97553.857142857145</c:v>
                </c:pt>
              </c:numCache>
            </c:numRef>
          </c:val>
          <c:smooth val="0"/>
          <c:extLst>
            <c:ext xmlns:c16="http://schemas.microsoft.com/office/drawing/2014/chart" uri="{C3380CC4-5D6E-409C-BE32-E72D297353CC}">
              <c16:uniqueId val="{00000001-C4E5-4C27-B463-332B80ADCEDA}"/>
            </c:ext>
          </c:extLst>
        </c:ser>
        <c:ser>
          <c:idx val="2"/>
          <c:order val="2"/>
          <c:tx>
            <c:v>18/19</c:v>
          </c:tx>
          <c:spPr>
            <a:ln w="25400">
              <a:solidFill>
                <a:srgbClr val="00A89C"/>
              </a:solidFill>
              <a:prstDash val="sysDot"/>
            </a:ln>
          </c:spPr>
          <c:marker>
            <c:symbol val="none"/>
          </c:marker>
          <c:val>
            <c:numRef>
              <c:f>Summary!$D$49:$P$49</c:f>
              <c:numCache>
                <c:formatCode>#,##0</c:formatCode>
                <c:ptCount val="13"/>
                <c:pt idx="0">
                  <c:v>96049.428571428565</c:v>
                </c:pt>
                <c:pt idx="1">
                  <c:v>95721.28571428571</c:v>
                </c:pt>
                <c:pt idx="2">
                  <c:v>95395.28571428571</c:v>
                </c:pt>
                <c:pt idx="3">
                  <c:v>94648.428571428565</c:v>
                </c:pt>
                <c:pt idx="4">
                  <c:v>96218.28571428571</c:v>
                </c:pt>
                <c:pt idx="5">
                  <c:v>97248</c:v>
                </c:pt>
                <c:pt idx="6">
                  <c:v>97580</c:v>
                </c:pt>
                <c:pt idx="7">
                  <c:v>97549.28571428571</c:v>
                </c:pt>
                <c:pt idx="8">
                  <c:v>98129.28571428571</c:v>
                </c:pt>
                <c:pt idx="9">
                  <c:v>98029.857142857145</c:v>
                </c:pt>
                <c:pt idx="10">
                  <c:v>98184.571428571435</c:v>
                </c:pt>
                <c:pt idx="11">
                  <c:v>97819.142857142855</c:v>
                </c:pt>
                <c:pt idx="12">
                  <c:v>97627.857142857145</c:v>
                </c:pt>
              </c:numCache>
            </c:numRef>
          </c:val>
          <c:smooth val="0"/>
          <c:extLst>
            <c:ext xmlns:c16="http://schemas.microsoft.com/office/drawing/2014/chart" uri="{C3380CC4-5D6E-409C-BE32-E72D297353CC}">
              <c16:uniqueId val="{00000002-C4E5-4C27-B463-332B80ADCEDA}"/>
            </c:ext>
          </c:extLst>
        </c:ser>
        <c:dLbls>
          <c:showLegendKey val="0"/>
          <c:showVal val="0"/>
          <c:showCatName val="0"/>
          <c:showSerName val="0"/>
          <c:showPercent val="0"/>
          <c:showBubbleSize val="0"/>
        </c:dLbls>
        <c:marker val="1"/>
        <c:smooth val="0"/>
        <c:axId val="563149440"/>
        <c:axId val="563173632"/>
      </c:lineChart>
      <c:catAx>
        <c:axId val="563149440"/>
        <c:scaling>
          <c:orientation val="minMax"/>
        </c:scaling>
        <c:delete val="0"/>
        <c:axPos val="b"/>
        <c:title>
          <c:tx>
            <c:rich>
              <a:bodyPr/>
              <a:lstStyle/>
              <a:p>
                <a:pPr>
                  <a:defRPr/>
                </a:pPr>
                <a:r>
                  <a:rPr lang="en-US"/>
                  <a:t>Week</a:t>
                </a:r>
              </a:p>
            </c:rich>
          </c:tx>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563173632"/>
        <c:crosses val="autoZero"/>
        <c:auto val="1"/>
        <c:lblAlgn val="ctr"/>
        <c:lblOffset val="100"/>
        <c:noMultiLvlLbl val="0"/>
      </c:catAx>
      <c:valAx>
        <c:axId val="563173632"/>
        <c:scaling>
          <c:orientation val="minMax"/>
          <c:min val="5000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563149440"/>
        <c:crosses val="autoZero"/>
        <c:crossBetween val="between"/>
      </c:valAx>
    </c:plotArea>
    <c:legend>
      <c:legendPos val="r"/>
      <c:layout>
        <c:manualLayout>
          <c:xMode val="edge"/>
          <c:yMode val="edge"/>
          <c:x val="0.34300941722396611"/>
          <c:y val="3.0690781210751194E-3"/>
          <c:w val="0.65247905008871299"/>
          <c:h val="9.9303394476069992E-2"/>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10861111111111"/>
          <c:y val="9.8247987457943595E-2"/>
          <c:w val="0.8622711111111111"/>
          <c:h val="0.652039669537952"/>
        </c:manualLayout>
      </c:layout>
      <c:barChart>
        <c:barDir val="col"/>
        <c:grouping val="clustered"/>
        <c:varyColors val="0"/>
        <c:ser>
          <c:idx val="1"/>
          <c:order val="0"/>
          <c:tx>
            <c:strRef>
              <c:f>Summary!$C$97</c:f>
              <c:strCache>
                <c:ptCount val="1"/>
                <c:pt idx="0">
                  <c:v>20/21</c:v>
                </c:pt>
              </c:strCache>
            </c:strRef>
          </c:tx>
          <c:spPr>
            <a:solidFill>
              <a:srgbClr val="F79131"/>
            </a:solidFill>
            <a:ln w="19050"/>
          </c:spPr>
          <c:invertIfNegative val="0"/>
          <c:cat>
            <c:numRef>
              <c:f>Summary!$D$5:$P$5</c:f>
              <c:numCache>
                <c:formatCode>General</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Cache>
            </c:numRef>
          </c:cat>
          <c:val>
            <c:numRef>
              <c:f>Summary!$D$97:$P$97</c:f>
              <c:numCache>
                <c:formatCode>#,##0</c:formatCode>
                <c:ptCount val="13"/>
                <c:pt idx="0">
                  <c:v>18825</c:v>
                </c:pt>
                <c:pt idx="1">
                  <c:v>18986.714285714286</c:v>
                </c:pt>
                <c:pt idx="2">
                  <c:v>19415.857142857141</c:v>
                </c:pt>
                <c:pt idx="3">
                  <c:v>19112.714285714286</c:v>
                </c:pt>
                <c:pt idx="4">
                  <c:v>19970.857142857141</c:v>
                </c:pt>
                <c:pt idx="5">
                  <c:v>20653.714285714286</c:v>
                </c:pt>
                <c:pt idx="6">
                  <c:v>19736</c:v>
                </c:pt>
                <c:pt idx="7">
                  <c:v>19302.285714285714</c:v>
                </c:pt>
                <c:pt idx="8">
                  <c:v>19256.285714285714</c:v>
                </c:pt>
                <c:pt idx="9">
                  <c:v>19522.571428571428</c:v>
                </c:pt>
                <c:pt idx="10">
                  <c:v>19380.142857142859</c:v>
                </c:pt>
                <c:pt idx="11">
                  <c:v>19201.428571428572</c:v>
                </c:pt>
                <c:pt idx="12">
                  <c:v>18957.428571428572</c:v>
                </c:pt>
              </c:numCache>
            </c:numRef>
          </c:val>
          <c:extLst>
            <c:ext xmlns:c16="http://schemas.microsoft.com/office/drawing/2014/chart" uri="{C3380CC4-5D6E-409C-BE32-E72D297353CC}">
              <c16:uniqueId val="{00000000-07CB-4E2A-AE55-88698CBB6D9B}"/>
            </c:ext>
          </c:extLst>
        </c:ser>
        <c:dLbls>
          <c:showLegendKey val="0"/>
          <c:showVal val="0"/>
          <c:showCatName val="0"/>
          <c:showSerName val="0"/>
          <c:showPercent val="0"/>
          <c:showBubbleSize val="0"/>
        </c:dLbls>
        <c:gapWidth val="50"/>
        <c:axId val="564020736"/>
        <c:axId val="564022656"/>
      </c:barChart>
      <c:lineChart>
        <c:grouping val="standard"/>
        <c:varyColors val="0"/>
        <c:ser>
          <c:idx val="0"/>
          <c:order val="1"/>
          <c:tx>
            <c:v>19/20</c:v>
          </c:tx>
          <c:spPr>
            <a:ln w="25400">
              <a:solidFill>
                <a:srgbClr val="29398F"/>
              </a:solidFill>
              <a:prstDash val="dash"/>
            </a:ln>
          </c:spPr>
          <c:marker>
            <c:symbol val="none"/>
          </c:marker>
          <c:val>
            <c:numRef>
              <c:f>Summary!$D$95:$P$95</c:f>
              <c:numCache>
                <c:formatCode>#,##0</c:formatCode>
                <c:ptCount val="13"/>
                <c:pt idx="0">
                  <c:v>24440.428571428572</c:v>
                </c:pt>
                <c:pt idx="1">
                  <c:v>24255</c:v>
                </c:pt>
                <c:pt idx="2">
                  <c:v>23700.571428571428</c:v>
                </c:pt>
                <c:pt idx="3">
                  <c:v>23240.142857142859</c:v>
                </c:pt>
                <c:pt idx="4">
                  <c:v>26075.857142857141</c:v>
                </c:pt>
                <c:pt idx="5">
                  <c:v>26588.571428571428</c:v>
                </c:pt>
                <c:pt idx="6">
                  <c:v>25931.428571428572</c:v>
                </c:pt>
                <c:pt idx="7">
                  <c:v>26034.571428571428</c:v>
                </c:pt>
                <c:pt idx="8">
                  <c:v>25894.285714285714</c:v>
                </c:pt>
                <c:pt idx="9">
                  <c:v>25497</c:v>
                </c:pt>
                <c:pt idx="10">
                  <c:v>25639.714285714286</c:v>
                </c:pt>
                <c:pt idx="11">
                  <c:v>25406.142857142859</c:v>
                </c:pt>
                <c:pt idx="12">
                  <c:v>25337.428571428572</c:v>
                </c:pt>
              </c:numCache>
            </c:numRef>
          </c:val>
          <c:smooth val="0"/>
          <c:extLst>
            <c:ext xmlns:c16="http://schemas.microsoft.com/office/drawing/2014/chart" uri="{C3380CC4-5D6E-409C-BE32-E72D297353CC}">
              <c16:uniqueId val="{00000001-07CB-4E2A-AE55-88698CBB6D9B}"/>
            </c:ext>
          </c:extLst>
        </c:ser>
        <c:ser>
          <c:idx val="2"/>
          <c:order val="2"/>
          <c:tx>
            <c:v>18/19</c:v>
          </c:tx>
          <c:spPr>
            <a:ln w="22225" cap="flat" cmpd="sng" algn="ctr">
              <a:solidFill>
                <a:srgbClr val="00A89C"/>
              </a:solidFill>
              <a:prstDash val="sysDot"/>
            </a:ln>
            <a:effectLst/>
          </c:spPr>
          <c:marker>
            <c:symbol val="none"/>
          </c:marker>
          <c:val>
            <c:numRef>
              <c:f>Summary!$D$94:$P$94</c:f>
              <c:numCache>
                <c:formatCode>General</c:formatCode>
                <c:ptCount val="13"/>
                <c:pt idx="0">
                  <c:v>23080.857142857141</c:v>
                </c:pt>
                <c:pt idx="1">
                  <c:v>22984.142857142859</c:v>
                </c:pt>
                <c:pt idx="2">
                  <c:v>21743.714285714286</c:v>
                </c:pt>
                <c:pt idx="3">
                  <c:v>21803.714285714286</c:v>
                </c:pt>
                <c:pt idx="4">
                  <c:v>24544.714285714286</c:v>
                </c:pt>
                <c:pt idx="5">
                  <c:v>24498.142857142859</c:v>
                </c:pt>
                <c:pt idx="6">
                  <c:v>24169.428571428572</c:v>
                </c:pt>
                <c:pt idx="7">
                  <c:v>24466</c:v>
                </c:pt>
                <c:pt idx="8">
                  <c:v>24489.428571428572</c:v>
                </c:pt>
                <c:pt idx="9">
                  <c:v>24371.571428571428</c:v>
                </c:pt>
                <c:pt idx="10">
                  <c:v>24538.857142857141</c:v>
                </c:pt>
                <c:pt idx="11">
                  <c:v>24669.142857142859</c:v>
                </c:pt>
                <c:pt idx="12">
                  <c:v>24758.285714285714</c:v>
                </c:pt>
              </c:numCache>
            </c:numRef>
          </c:val>
          <c:smooth val="0"/>
          <c:extLst>
            <c:ext xmlns:c16="http://schemas.microsoft.com/office/drawing/2014/chart" uri="{C3380CC4-5D6E-409C-BE32-E72D297353CC}">
              <c16:uniqueId val="{00000000-020C-4E10-B39A-76CFECA96E9D}"/>
            </c:ext>
          </c:extLst>
        </c:ser>
        <c:dLbls>
          <c:showLegendKey val="0"/>
          <c:showVal val="0"/>
          <c:showCatName val="0"/>
          <c:showSerName val="0"/>
          <c:showPercent val="0"/>
          <c:showBubbleSize val="0"/>
        </c:dLbls>
        <c:marker val="1"/>
        <c:smooth val="0"/>
        <c:axId val="564020736"/>
        <c:axId val="564022656"/>
      </c:lineChart>
      <c:catAx>
        <c:axId val="564020736"/>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64022656"/>
        <c:crosses val="autoZero"/>
        <c:auto val="1"/>
        <c:lblAlgn val="ctr"/>
        <c:lblOffset val="100"/>
        <c:noMultiLvlLbl val="0"/>
      </c:catAx>
      <c:valAx>
        <c:axId val="564022656"/>
        <c:scaling>
          <c:orientation val="minMax"/>
        </c:scaling>
        <c:delete val="0"/>
        <c:axPos val="l"/>
        <c:numFmt formatCode="#,##0" sourceLinked="0"/>
        <c:majorTickMark val="none"/>
        <c:minorTickMark val="none"/>
        <c:tickLblPos val="nextTo"/>
        <c:spPr>
          <a:ln w="50800">
            <a:solidFill>
              <a:srgbClr val="CED8DD"/>
            </a:solidFill>
          </a:ln>
        </c:spPr>
        <c:txPr>
          <a:bodyPr/>
          <a:lstStyle/>
          <a:p>
            <a:pPr>
              <a:defRPr sz="800" b="1"/>
            </a:pPr>
            <a:endParaRPr lang="en-US"/>
          </a:p>
        </c:txPr>
        <c:crossAx val="564020736"/>
        <c:crosses val="autoZero"/>
        <c:crossBetween val="between"/>
      </c:valAx>
    </c:plotArea>
    <c:legend>
      <c:legendPos val="r"/>
      <c:layout>
        <c:manualLayout>
          <c:xMode val="edge"/>
          <c:yMode val="edge"/>
          <c:x val="0.50946872561181189"/>
          <c:y val="8.2540363968860997E-3"/>
          <c:w val="0.49002037192711922"/>
          <c:h val="0.1173570274788448"/>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71388888888889"/>
          <c:y val="6.2453703703703713E-2"/>
          <c:w val="0.8813563888888889"/>
          <c:h val="0.74377762365196576"/>
        </c:manualLayout>
      </c:layout>
      <c:barChart>
        <c:barDir val="col"/>
        <c:grouping val="clustered"/>
        <c:varyColors val="0"/>
        <c:ser>
          <c:idx val="1"/>
          <c:order val="0"/>
          <c:tx>
            <c:strRef>
              <c:f>Summary!$C$276</c:f>
              <c:strCache>
                <c:ptCount val="1"/>
                <c:pt idx="0">
                  <c:v>20/21</c:v>
                </c:pt>
              </c:strCache>
            </c:strRef>
          </c:tx>
          <c:spPr>
            <a:solidFill>
              <a:srgbClr val="F79131"/>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Summary!$D$264:$P$264</c:f>
              <c:numCache>
                <c:formatCode>0.0%</c:formatCode>
                <c:ptCount val="13"/>
                <c:pt idx="0">
                  <c:v>0.11035858781799035</c:v>
                </c:pt>
                <c:pt idx="1">
                  <c:v>0.1453943873937677</c:v>
                </c:pt>
                <c:pt idx="2">
                  <c:v>0.14659133033036406</c:v>
                </c:pt>
                <c:pt idx="3">
                  <c:v>0.10736136008789683</c:v>
                </c:pt>
                <c:pt idx="4">
                  <c:v>0.159622356330022</c:v>
                </c:pt>
                <c:pt idx="5">
                  <c:v>0.17174862879985126</c:v>
                </c:pt>
                <c:pt idx="6">
                  <c:v>0.12635676932016271</c:v>
                </c:pt>
                <c:pt idx="7">
                  <c:v>0.13006408595852997</c:v>
                </c:pt>
                <c:pt idx="8">
                  <c:v>0.10975788701393983</c:v>
                </c:pt>
                <c:pt idx="9">
                  <c:v>8.7722924633387309E-2</c:v>
                </c:pt>
                <c:pt idx="10">
                  <c:v>7.0811967822364402E-2</c:v>
                </c:pt>
                <c:pt idx="11">
                  <c:v>9.4951750362010451E-2</c:v>
                </c:pt>
                <c:pt idx="12">
                  <c:v>8.2179960261141077E-2</c:v>
                </c:pt>
              </c:numCache>
            </c:numRef>
          </c:val>
          <c:extLst>
            <c:ext xmlns:c16="http://schemas.microsoft.com/office/drawing/2014/chart" uri="{C3380CC4-5D6E-409C-BE32-E72D297353CC}">
              <c16:uniqueId val="{00000000-319D-4CD2-BF65-6BE46F42B4DB}"/>
            </c:ext>
          </c:extLst>
        </c:ser>
        <c:dLbls>
          <c:showLegendKey val="0"/>
          <c:showVal val="0"/>
          <c:showCatName val="0"/>
          <c:showSerName val="0"/>
          <c:showPercent val="0"/>
          <c:showBubbleSize val="0"/>
        </c:dLbls>
        <c:gapWidth val="50"/>
        <c:axId val="565834112"/>
        <c:axId val="565836800"/>
      </c:barChart>
      <c:lineChart>
        <c:grouping val="standard"/>
        <c:varyColors val="0"/>
        <c:ser>
          <c:idx val="0"/>
          <c:order val="1"/>
          <c:tx>
            <c:strRef>
              <c:f>Summary!$C$274</c:f>
              <c:strCache>
                <c:ptCount val="1"/>
                <c:pt idx="0">
                  <c:v>19/20</c:v>
                </c:pt>
              </c:strCache>
            </c:strRef>
          </c:tx>
          <c:spPr>
            <a:ln w="25400">
              <a:solidFill>
                <a:srgbClr val="29398F"/>
              </a:solidFill>
              <a:prstDash val="sysDash"/>
            </a:ln>
          </c:spPr>
          <c:marker>
            <c:symbol val="none"/>
          </c:marker>
          <c:val>
            <c:numRef>
              <c:f>Summary!$D$262:$P$262</c:f>
              <c:numCache>
                <c:formatCode>0.0%</c:formatCode>
                <c:ptCount val="13"/>
                <c:pt idx="0">
                  <c:v>0.14580191552896762</c:v>
                </c:pt>
                <c:pt idx="1">
                  <c:v>0.16260829548410333</c:v>
                </c:pt>
                <c:pt idx="2">
                  <c:v>0.17464612822647793</c:v>
                </c:pt>
                <c:pt idx="3">
                  <c:v>0.14498062054830657</c:v>
                </c:pt>
                <c:pt idx="4">
                  <c:v>0.1814773936302439</c:v>
                </c:pt>
                <c:pt idx="5">
                  <c:v>0.16348785226346904</c:v>
                </c:pt>
                <c:pt idx="6">
                  <c:v>0.13131665820213306</c:v>
                </c:pt>
                <c:pt idx="7">
                  <c:v>0.11060714400059765</c:v>
                </c:pt>
                <c:pt idx="8">
                  <c:v>0.14339145660439914</c:v>
                </c:pt>
                <c:pt idx="9">
                  <c:v>0.12353892993250867</c:v>
                </c:pt>
                <c:pt idx="10">
                  <c:v>0.1246746376044863</c:v>
                </c:pt>
                <c:pt idx="11">
                  <c:v>0.12125818028287946</c:v>
                </c:pt>
                <c:pt idx="12">
                  <c:v>0.12861921298762172</c:v>
                </c:pt>
              </c:numCache>
            </c:numRef>
          </c:val>
          <c:smooth val="0"/>
          <c:extLst>
            <c:ext xmlns:c16="http://schemas.microsoft.com/office/drawing/2014/chart" uri="{C3380CC4-5D6E-409C-BE32-E72D297353CC}">
              <c16:uniqueId val="{00000001-319D-4CD2-BF65-6BE46F42B4DB}"/>
            </c:ext>
          </c:extLst>
        </c:ser>
        <c:ser>
          <c:idx val="2"/>
          <c:order val="2"/>
          <c:tx>
            <c:v>18/19</c:v>
          </c:tx>
          <c:spPr>
            <a:ln w="25400">
              <a:solidFill>
                <a:srgbClr val="00A89C"/>
              </a:solidFill>
              <a:prstDash val="sysDot"/>
            </a:ln>
          </c:spPr>
          <c:marker>
            <c:symbol val="none"/>
          </c:marker>
          <c:val>
            <c:numRef>
              <c:f>Summary!$D$261:$P$261</c:f>
              <c:numCache>
                <c:formatCode>0.0%</c:formatCode>
                <c:ptCount val="13"/>
                <c:pt idx="0">
                  <c:v>0.10951863099146422</c:v>
                </c:pt>
                <c:pt idx="1">
                  <c:v>9.7181255452619339E-2</c:v>
                </c:pt>
                <c:pt idx="2">
                  <c:v>9.7657708570909565E-2</c:v>
                </c:pt>
                <c:pt idx="3">
                  <c:v>9.7997095485901006E-2</c:v>
                </c:pt>
                <c:pt idx="4">
                  <c:v>0.12050142718418033</c:v>
                </c:pt>
                <c:pt idx="5">
                  <c:v>0.12481898917479317</c:v>
                </c:pt>
                <c:pt idx="6">
                  <c:v>0.11664634083851727</c:v>
                </c:pt>
                <c:pt idx="7">
                  <c:v>0.12176768088751122</c:v>
                </c:pt>
                <c:pt idx="8">
                  <c:v>0.12160417947141978</c:v>
                </c:pt>
                <c:pt idx="9">
                  <c:v>0.13510918166268218</c:v>
                </c:pt>
                <c:pt idx="10">
                  <c:v>0.1241996396469762</c:v>
                </c:pt>
                <c:pt idx="11">
                  <c:v>0.11279371176106372</c:v>
                </c:pt>
                <c:pt idx="12">
                  <c:v>0.10601850373162136</c:v>
                </c:pt>
              </c:numCache>
            </c:numRef>
          </c:val>
          <c:smooth val="0"/>
          <c:extLst>
            <c:ext xmlns:c16="http://schemas.microsoft.com/office/drawing/2014/chart" uri="{C3380CC4-5D6E-409C-BE32-E72D297353CC}">
              <c16:uniqueId val="{00000002-319D-4CD2-BF65-6BE46F42B4DB}"/>
            </c:ext>
          </c:extLst>
        </c:ser>
        <c:dLbls>
          <c:showLegendKey val="0"/>
          <c:showVal val="0"/>
          <c:showCatName val="0"/>
          <c:showSerName val="0"/>
          <c:showPercent val="0"/>
          <c:showBubbleSize val="0"/>
        </c:dLbls>
        <c:marker val="1"/>
        <c:smooth val="0"/>
        <c:axId val="565834112"/>
        <c:axId val="565836800"/>
      </c:lineChart>
      <c:catAx>
        <c:axId val="565834112"/>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65836800"/>
        <c:crosses val="autoZero"/>
        <c:auto val="1"/>
        <c:lblAlgn val="ctr"/>
        <c:lblOffset val="100"/>
        <c:noMultiLvlLbl val="0"/>
      </c:catAx>
      <c:valAx>
        <c:axId val="565836800"/>
        <c:scaling>
          <c:orientation val="minMax"/>
        </c:scaling>
        <c:delete val="0"/>
        <c:axPos val="l"/>
        <c:numFmt formatCode="0.0%" sourceLinked="0"/>
        <c:majorTickMark val="none"/>
        <c:minorTickMark val="none"/>
        <c:tickLblPos val="nextTo"/>
        <c:spPr>
          <a:ln w="50800">
            <a:solidFill>
              <a:srgbClr val="CED8DD"/>
            </a:solidFill>
          </a:ln>
        </c:spPr>
        <c:txPr>
          <a:bodyPr/>
          <a:lstStyle/>
          <a:p>
            <a:pPr>
              <a:defRPr sz="800" b="1"/>
            </a:pPr>
            <a:endParaRPr lang="en-US"/>
          </a:p>
        </c:txPr>
        <c:crossAx val="565834112"/>
        <c:crosses val="autoZero"/>
        <c:crossBetween val="between"/>
      </c:valAx>
    </c:plotArea>
    <c:legend>
      <c:legendPos val="r"/>
      <c:layout>
        <c:manualLayout>
          <c:xMode val="edge"/>
          <c:yMode val="edge"/>
          <c:x val="0.43325309988437355"/>
          <c:y val="1.2691699628442998E-2"/>
          <c:w val="0.55905574789474277"/>
          <c:h val="0.1379158030647955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Summary!$C$152</c:f>
              <c:strCache>
                <c:ptCount val="1"/>
                <c:pt idx="0">
                  <c:v>20/21</c:v>
                </c:pt>
              </c:strCache>
            </c:strRef>
          </c:tx>
          <c:spPr>
            <a:solidFill>
              <a:srgbClr val="F79131"/>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Summary!$D$152:$P$152</c:f>
              <c:numCache>
                <c:formatCode>_-* #,##0_-;\-* #,##0_-;_-* "-"??_-;_-@_-</c:formatCode>
                <c:ptCount val="13"/>
                <c:pt idx="0" formatCode="#,##0">
                  <c:v>4415.1428571428569</c:v>
                </c:pt>
                <c:pt idx="1">
                  <c:v>4430.7142857142853</c:v>
                </c:pt>
                <c:pt idx="2">
                  <c:v>4303.2857142857147</c:v>
                </c:pt>
                <c:pt idx="3">
                  <c:v>4393.8571428571431</c:v>
                </c:pt>
                <c:pt idx="4" formatCode="#,##0">
                  <c:v>4672.1428571428569</c:v>
                </c:pt>
                <c:pt idx="5">
                  <c:v>5134.5714285714284</c:v>
                </c:pt>
                <c:pt idx="6">
                  <c:v>5676.7142857142853</c:v>
                </c:pt>
                <c:pt idx="7">
                  <c:v>6057.4285714285716</c:v>
                </c:pt>
                <c:pt idx="8">
                  <c:v>6152.7142857142853</c:v>
                </c:pt>
                <c:pt idx="9">
                  <c:v>6051.8571428571431</c:v>
                </c:pt>
                <c:pt idx="10">
                  <c:v>5837.1428571428569</c:v>
                </c:pt>
                <c:pt idx="11">
                  <c:v>5600.8571428571431</c:v>
                </c:pt>
                <c:pt idx="12">
                  <c:v>5309.7142857142853</c:v>
                </c:pt>
              </c:numCache>
            </c:numRef>
          </c:val>
          <c:extLst>
            <c:ext xmlns:c16="http://schemas.microsoft.com/office/drawing/2014/chart" uri="{C3380CC4-5D6E-409C-BE32-E72D297353CC}">
              <c16:uniqueId val="{00000000-34AD-4386-8464-6443D0AF41A2}"/>
            </c:ext>
          </c:extLst>
        </c:ser>
        <c:dLbls>
          <c:showLegendKey val="0"/>
          <c:showVal val="0"/>
          <c:showCatName val="0"/>
          <c:showSerName val="0"/>
          <c:showPercent val="0"/>
          <c:showBubbleSize val="0"/>
        </c:dLbls>
        <c:gapWidth val="50"/>
        <c:axId val="435401088"/>
        <c:axId val="435403392"/>
      </c:barChart>
      <c:lineChart>
        <c:grouping val="standard"/>
        <c:varyColors val="0"/>
        <c:ser>
          <c:idx val="0"/>
          <c:order val="0"/>
          <c:tx>
            <c:strRef>
              <c:f>Summary!$C$150</c:f>
              <c:strCache>
                <c:ptCount val="1"/>
                <c:pt idx="0">
                  <c:v>19/20</c:v>
                </c:pt>
              </c:strCache>
            </c:strRef>
          </c:tx>
          <c:spPr>
            <a:ln w="25400">
              <a:solidFill>
                <a:srgbClr val="29398F"/>
              </a:solidFill>
              <a:prstDash val="dash"/>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Summary!$D$150:$P$150</c:f>
              <c:numCache>
                <c:formatCode>_-* #,##0_-;\-* #,##0_-;_-* "-"??_-;_-@_-</c:formatCode>
                <c:ptCount val="13"/>
                <c:pt idx="0" formatCode="#,##0">
                  <c:v>3668.4285714285716</c:v>
                </c:pt>
                <c:pt idx="1">
                  <c:v>3673.2857142857142</c:v>
                </c:pt>
                <c:pt idx="2">
                  <c:v>3668.5714285714284</c:v>
                </c:pt>
                <c:pt idx="3">
                  <c:v>3651.1428571428573</c:v>
                </c:pt>
                <c:pt idx="4" formatCode="#,##0">
                  <c:v>3666.7142857142858</c:v>
                </c:pt>
                <c:pt idx="5">
                  <c:v>3682.2857142857142</c:v>
                </c:pt>
                <c:pt idx="6">
                  <c:v>3678.5714285714284</c:v>
                </c:pt>
                <c:pt idx="7">
                  <c:v>3668.5714285714284</c:v>
                </c:pt>
                <c:pt idx="8">
                  <c:v>3661.4285714285716</c:v>
                </c:pt>
                <c:pt idx="9">
                  <c:v>3668.4285714285716</c:v>
                </c:pt>
                <c:pt idx="10">
                  <c:v>3672.7142857142858</c:v>
                </c:pt>
                <c:pt idx="11">
                  <c:v>3668.2857142857142</c:v>
                </c:pt>
                <c:pt idx="12">
                  <c:v>3666.5714285714284</c:v>
                </c:pt>
              </c:numCache>
            </c:numRef>
          </c:val>
          <c:smooth val="0"/>
          <c:extLst>
            <c:ext xmlns:c16="http://schemas.microsoft.com/office/drawing/2014/chart" uri="{C3380CC4-5D6E-409C-BE32-E72D297353CC}">
              <c16:uniqueId val="{00000001-34AD-4386-8464-6443D0AF41A2}"/>
            </c:ext>
          </c:extLst>
        </c:ser>
        <c:ser>
          <c:idx val="2"/>
          <c:order val="2"/>
          <c:tx>
            <c:v>18/19</c:v>
          </c:tx>
          <c:spPr>
            <a:ln w="25400">
              <a:solidFill>
                <a:srgbClr val="00A89C"/>
              </a:solidFill>
              <a:prstDash val="sysDot"/>
            </a:ln>
          </c:spPr>
          <c:marker>
            <c:symbol val="none"/>
          </c:marker>
          <c:val>
            <c:numRef>
              <c:f>Summary!$D$149:$P$149</c:f>
              <c:numCache>
                <c:formatCode>_-* #,##0_-;\-* #,##0_-;_-* "-"??_-;_-@_-</c:formatCode>
                <c:ptCount val="13"/>
                <c:pt idx="0">
                  <c:v>3687.4285714285716</c:v>
                </c:pt>
                <c:pt idx="1">
                  <c:v>3681.4285714285716</c:v>
                </c:pt>
                <c:pt idx="2">
                  <c:v>3668.4285714285716</c:v>
                </c:pt>
                <c:pt idx="3">
                  <c:v>3648</c:v>
                </c:pt>
                <c:pt idx="4">
                  <c:v>3652.1428571428573</c:v>
                </c:pt>
                <c:pt idx="5">
                  <c:v>3665.5714285714284</c:v>
                </c:pt>
                <c:pt idx="6">
                  <c:v>3693.8571428571427</c:v>
                </c:pt>
                <c:pt idx="7">
                  <c:v>3681.2857142857142</c:v>
                </c:pt>
                <c:pt idx="8">
                  <c:v>3695.4285714285716</c:v>
                </c:pt>
                <c:pt idx="9">
                  <c:v>3679.2857142857142</c:v>
                </c:pt>
                <c:pt idx="10">
                  <c:v>3689.1428571428573</c:v>
                </c:pt>
                <c:pt idx="11">
                  <c:v>3675.4285714285716</c:v>
                </c:pt>
                <c:pt idx="12">
                  <c:v>3683.4285714285716</c:v>
                </c:pt>
              </c:numCache>
            </c:numRef>
          </c:val>
          <c:smooth val="0"/>
          <c:extLst>
            <c:ext xmlns:c16="http://schemas.microsoft.com/office/drawing/2014/chart" uri="{C3380CC4-5D6E-409C-BE32-E72D297353CC}">
              <c16:uniqueId val="{00000002-34AD-4386-8464-6443D0AF41A2}"/>
            </c:ext>
          </c:extLst>
        </c:ser>
        <c:dLbls>
          <c:showLegendKey val="0"/>
          <c:showVal val="0"/>
          <c:showCatName val="0"/>
          <c:showSerName val="0"/>
          <c:showPercent val="0"/>
          <c:showBubbleSize val="0"/>
        </c:dLbls>
        <c:marker val="1"/>
        <c:smooth val="0"/>
        <c:axId val="435401088"/>
        <c:axId val="435403392"/>
      </c:lineChart>
      <c:catAx>
        <c:axId val="435401088"/>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435403392"/>
        <c:crosses val="autoZero"/>
        <c:auto val="1"/>
        <c:lblAlgn val="ctr"/>
        <c:lblOffset val="100"/>
        <c:noMultiLvlLbl val="0"/>
      </c:catAx>
      <c:valAx>
        <c:axId val="435403392"/>
        <c:scaling>
          <c:orientation val="minMax"/>
        </c:scaling>
        <c:delete val="0"/>
        <c:axPos val="l"/>
        <c:numFmt formatCode="#,##0" sourceLinked="0"/>
        <c:majorTickMark val="none"/>
        <c:minorTickMark val="none"/>
        <c:tickLblPos val="nextTo"/>
        <c:spPr>
          <a:ln w="50800">
            <a:solidFill>
              <a:srgbClr val="CED8DD"/>
            </a:solidFill>
          </a:ln>
        </c:spPr>
        <c:txPr>
          <a:bodyPr/>
          <a:lstStyle/>
          <a:p>
            <a:pPr>
              <a:defRPr sz="800" b="1"/>
            </a:pPr>
            <a:endParaRPr lang="en-US"/>
          </a:p>
        </c:txPr>
        <c:crossAx val="435401088"/>
        <c:crosses val="autoZero"/>
        <c:crossBetween val="between"/>
      </c:valAx>
    </c:plotArea>
    <c:legend>
      <c:legendPos val="r"/>
      <c:layout>
        <c:manualLayout>
          <c:xMode val="edge"/>
          <c:yMode val="edge"/>
          <c:x val="0.47451480824348302"/>
          <c:y val="2.4626978146194732E-3"/>
          <c:w val="0.51396260406714889"/>
          <c:h val="0.1419531941808981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Summary!$C$166</c:f>
              <c:strCache>
                <c:ptCount val="1"/>
                <c:pt idx="0">
                  <c:v>20/21</c:v>
                </c:pt>
              </c:strCache>
            </c:strRef>
          </c:tx>
          <c:spPr>
            <a:solidFill>
              <a:srgbClr val="F79131"/>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Summary!$D$166:$P$166</c:f>
              <c:numCache>
                <c:formatCode>#,##0</c:formatCode>
                <c:ptCount val="13"/>
                <c:pt idx="0">
                  <c:v>3254.7142857142858</c:v>
                </c:pt>
                <c:pt idx="1">
                  <c:v>3330.5714285714284</c:v>
                </c:pt>
                <c:pt idx="2">
                  <c:v>3315.2857142857142</c:v>
                </c:pt>
                <c:pt idx="3">
                  <c:v>3340.1428571428573</c:v>
                </c:pt>
                <c:pt idx="4">
                  <c:v>3716.5714285714284</c:v>
                </c:pt>
                <c:pt idx="5">
                  <c:v>4283.7142857142853</c:v>
                </c:pt>
                <c:pt idx="6">
                  <c:v>4909.2857142857147</c:v>
                </c:pt>
                <c:pt idx="7">
                  <c:v>5278.1428571428569</c:v>
                </c:pt>
                <c:pt idx="8">
                  <c:v>5302.2857142857147</c:v>
                </c:pt>
                <c:pt idx="9">
                  <c:v>5038.7142857142853</c:v>
                </c:pt>
                <c:pt idx="10">
                  <c:v>4654.5714285714284</c:v>
                </c:pt>
                <c:pt idx="11">
                  <c:v>4334.2857142857147</c:v>
                </c:pt>
                <c:pt idx="12">
                  <c:v>3996.7142857142858</c:v>
                </c:pt>
              </c:numCache>
            </c:numRef>
          </c:val>
          <c:extLst>
            <c:ext xmlns:c16="http://schemas.microsoft.com/office/drawing/2014/chart" uri="{C3380CC4-5D6E-409C-BE32-E72D297353CC}">
              <c16:uniqueId val="{00000000-2EC2-4D10-864C-1D3A1F47FAD4}"/>
            </c:ext>
          </c:extLst>
        </c:ser>
        <c:dLbls>
          <c:showLegendKey val="0"/>
          <c:showVal val="0"/>
          <c:showCatName val="0"/>
          <c:showSerName val="0"/>
          <c:showPercent val="0"/>
          <c:showBubbleSize val="0"/>
        </c:dLbls>
        <c:gapWidth val="50"/>
        <c:axId val="435401088"/>
        <c:axId val="435403392"/>
      </c:barChart>
      <c:lineChart>
        <c:grouping val="standard"/>
        <c:varyColors val="0"/>
        <c:ser>
          <c:idx val="0"/>
          <c:order val="0"/>
          <c:tx>
            <c:strRef>
              <c:f>Summary!$C$164</c:f>
              <c:strCache>
                <c:ptCount val="1"/>
                <c:pt idx="0">
                  <c:v>19/20</c:v>
                </c:pt>
              </c:strCache>
            </c:strRef>
          </c:tx>
          <c:spPr>
            <a:ln w="25400">
              <a:solidFill>
                <a:srgbClr val="29398F"/>
              </a:solidFill>
              <a:prstDash val="dash"/>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Summary!$D$164:$P$164</c:f>
              <c:numCache>
                <c:formatCode>_-* #,##0_-;\-* #,##0_-;_-* "-"??_-;_-@_-</c:formatCode>
                <c:ptCount val="13"/>
                <c:pt idx="0" formatCode="#,##0">
                  <c:v>3047.8571428571427</c:v>
                </c:pt>
                <c:pt idx="1">
                  <c:v>3077.7142857142858</c:v>
                </c:pt>
                <c:pt idx="2">
                  <c:v>3086.1428571428573</c:v>
                </c:pt>
                <c:pt idx="3">
                  <c:v>2870.2857142857142</c:v>
                </c:pt>
                <c:pt idx="4" formatCode="#,##0">
                  <c:v>3019.7142857142858</c:v>
                </c:pt>
                <c:pt idx="5">
                  <c:v>3110.8571428571427</c:v>
                </c:pt>
                <c:pt idx="6">
                  <c:v>3060.7142857142858</c:v>
                </c:pt>
                <c:pt idx="7">
                  <c:v>3004.8571428571427</c:v>
                </c:pt>
                <c:pt idx="8">
                  <c:v>3010.7142857142858</c:v>
                </c:pt>
                <c:pt idx="9">
                  <c:v>2985.1428571428573</c:v>
                </c:pt>
                <c:pt idx="10">
                  <c:v>2997.5714285714284</c:v>
                </c:pt>
                <c:pt idx="11">
                  <c:v>2973</c:v>
                </c:pt>
                <c:pt idx="12">
                  <c:v>2997.4285714285716</c:v>
                </c:pt>
              </c:numCache>
            </c:numRef>
          </c:val>
          <c:smooth val="0"/>
          <c:extLst>
            <c:ext xmlns:c16="http://schemas.microsoft.com/office/drawing/2014/chart" uri="{C3380CC4-5D6E-409C-BE32-E72D297353CC}">
              <c16:uniqueId val="{00000001-2EC2-4D10-864C-1D3A1F47FAD4}"/>
            </c:ext>
          </c:extLst>
        </c:ser>
        <c:ser>
          <c:idx val="2"/>
          <c:order val="2"/>
          <c:tx>
            <c:v>18/19</c:v>
          </c:tx>
          <c:spPr>
            <a:ln w="25400">
              <a:solidFill>
                <a:srgbClr val="00A89C"/>
              </a:solidFill>
              <a:prstDash val="sysDot"/>
            </a:ln>
          </c:spPr>
          <c:marker>
            <c:symbol val="none"/>
          </c:marker>
          <c:val>
            <c:numRef>
              <c:f>Summary!$D$163:$P$163</c:f>
              <c:numCache>
                <c:formatCode>_-* #,##0_-;\-* #,##0_-;_-* "-"??_-;_-@_-</c:formatCode>
                <c:ptCount val="13"/>
                <c:pt idx="0">
                  <c:v>3028.8571428571427</c:v>
                </c:pt>
                <c:pt idx="1">
                  <c:v>2993.1428571428573</c:v>
                </c:pt>
                <c:pt idx="2">
                  <c:v>2969.4285714285716</c:v>
                </c:pt>
                <c:pt idx="3">
                  <c:v>2800.8571428571427</c:v>
                </c:pt>
                <c:pt idx="4">
                  <c:v>3041.7142857142858</c:v>
                </c:pt>
                <c:pt idx="5">
                  <c:v>3124.1428571428573</c:v>
                </c:pt>
                <c:pt idx="6">
                  <c:v>3148.7142857142858</c:v>
                </c:pt>
                <c:pt idx="7">
                  <c:v>3139.4285714285716</c:v>
                </c:pt>
                <c:pt idx="8">
                  <c:v>3164.2857142857142</c:v>
                </c:pt>
                <c:pt idx="9">
                  <c:v>3151.5714285714284</c:v>
                </c:pt>
                <c:pt idx="10">
                  <c:v>3140</c:v>
                </c:pt>
                <c:pt idx="11">
                  <c:v>3065</c:v>
                </c:pt>
                <c:pt idx="12">
                  <c:v>3038.7142857142858</c:v>
                </c:pt>
              </c:numCache>
            </c:numRef>
          </c:val>
          <c:smooth val="0"/>
          <c:extLst>
            <c:ext xmlns:c16="http://schemas.microsoft.com/office/drawing/2014/chart" uri="{C3380CC4-5D6E-409C-BE32-E72D297353CC}">
              <c16:uniqueId val="{00000002-2EC2-4D10-864C-1D3A1F47FAD4}"/>
            </c:ext>
          </c:extLst>
        </c:ser>
        <c:dLbls>
          <c:showLegendKey val="0"/>
          <c:showVal val="0"/>
          <c:showCatName val="0"/>
          <c:showSerName val="0"/>
          <c:showPercent val="0"/>
          <c:showBubbleSize val="0"/>
        </c:dLbls>
        <c:marker val="1"/>
        <c:smooth val="0"/>
        <c:axId val="435401088"/>
        <c:axId val="435403392"/>
      </c:lineChart>
      <c:catAx>
        <c:axId val="435401088"/>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435403392"/>
        <c:crosses val="autoZero"/>
        <c:auto val="1"/>
        <c:lblAlgn val="ctr"/>
        <c:lblOffset val="100"/>
        <c:noMultiLvlLbl val="0"/>
      </c:catAx>
      <c:valAx>
        <c:axId val="435403392"/>
        <c:scaling>
          <c:orientation val="minMax"/>
        </c:scaling>
        <c:delete val="0"/>
        <c:axPos val="l"/>
        <c:numFmt formatCode="#,##0" sourceLinked="0"/>
        <c:majorTickMark val="none"/>
        <c:minorTickMark val="none"/>
        <c:tickLblPos val="nextTo"/>
        <c:spPr>
          <a:ln w="50800">
            <a:solidFill>
              <a:srgbClr val="CED8DD"/>
            </a:solidFill>
          </a:ln>
        </c:spPr>
        <c:txPr>
          <a:bodyPr/>
          <a:lstStyle/>
          <a:p>
            <a:pPr>
              <a:defRPr sz="800" b="1"/>
            </a:pPr>
            <a:endParaRPr lang="en-US"/>
          </a:p>
        </c:txPr>
        <c:crossAx val="435401088"/>
        <c:crosses val="autoZero"/>
        <c:crossBetween val="between"/>
      </c:valAx>
    </c:plotArea>
    <c:legend>
      <c:legendPos val="r"/>
      <c:layout>
        <c:manualLayout>
          <c:xMode val="edge"/>
          <c:yMode val="edge"/>
          <c:x val="0.47451480824348302"/>
          <c:y val="2.4626978146194732E-3"/>
          <c:w val="0.51396260406714889"/>
          <c:h val="0.1419531941808981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c:f>
              <c:strCache>
                <c:ptCount val="1"/>
                <c:pt idx="0">
                  <c:v>20/21</c:v>
                </c:pt>
              </c:strCache>
            </c:strRef>
          </c:tx>
          <c:spPr>
            <a:ln w="19050"/>
          </c:spPr>
          <c:invertIfNegative val="0"/>
          <c:val>
            <c:numRef>
              <c:f>Summary!$D$8:$Q$8</c:f>
              <c:numCache>
                <c:formatCode>General</c:formatCode>
                <c:ptCount val="14"/>
                <c:pt idx="0">
                  <c:v>18</c:v>
                </c:pt>
                <c:pt idx="1">
                  <c:v>44</c:v>
                </c:pt>
                <c:pt idx="2">
                  <c:v>26</c:v>
                </c:pt>
                <c:pt idx="3">
                  <c:v>22</c:v>
                </c:pt>
                <c:pt idx="4">
                  <c:v>20</c:v>
                </c:pt>
                <c:pt idx="5">
                  <c:v>25</c:v>
                </c:pt>
                <c:pt idx="6">
                  <c:v>15</c:v>
                </c:pt>
                <c:pt idx="7">
                  <c:v>24</c:v>
                </c:pt>
                <c:pt idx="8">
                  <c:v>14</c:v>
                </c:pt>
                <c:pt idx="9">
                  <c:v>13</c:v>
                </c:pt>
                <c:pt idx="10">
                  <c:v>18</c:v>
                </c:pt>
                <c:pt idx="11">
                  <c:v>22</c:v>
                </c:pt>
                <c:pt idx="12">
                  <c:v>17</c:v>
                </c:pt>
              </c:numCache>
            </c:numRef>
          </c:val>
          <c:extLst>
            <c:ext xmlns:c16="http://schemas.microsoft.com/office/drawing/2014/chart" uri="{C3380CC4-5D6E-409C-BE32-E72D297353CC}">
              <c16:uniqueId val="{00000000-3648-4786-9335-5B8102D4B545}"/>
            </c:ext>
          </c:extLst>
        </c:ser>
        <c:dLbls>
          <c:showLegendKey val="0"/>
          <c:showVal val="0"/>
          <c:showCatName val="0"/>
          <c:showSerName val="0"/>
          <c:showPercent val="0"/>
          <c:showBubbleSize val="0"/>
        </c:dLbls>
        <c:gapWidth val="50"/>
        <c:axId val="566597120"/>
        <c:axId val="566603136"/>
      </c:barChart>
      <c:lineChart>
        <c:grouping val="standard"/>
        <c:varyColors val="0"/>
        <c:ser>
          <c:idx val="0"/>
          <c:order val="0"/>
          <c:tx>
            <c:strRef>
              <c:f>Summary!$C$6</c:f>
              <c:strCache>
                <c:ptCount val="1"/>
                <c:pt idx="0">
                  <c:v>19/20</c:v>
                </c:pt>
              </c:strCache>
            </c:strRef>
          </c:tx>
          <c:spPr>
            <a:ln w="28575">
              <a:solidFill>
                <a:srgbClr val="F0532D"/>
              </a:solidFill>
              <a:prstDash val="sysDot"/>
            </a:ln>
          </c:spPr>
          <c:marker>
            <c:symbol val="none"/>
          </c:marker>
          <c:val>
            <c:numRef>
              <c:f>Summary!$D$6:$P$6</c:f>
              <c:numCache>
                <c:formatCode>General</c:formatCode>
                <c:ptCount val="13"/>
                <c:pt idx="0">
                  <c:v>28</c:v>
                </c:pt>
                <c:pt idx="1">
                  <c:v>24</c:v>
                </c:pt>
                <c:pt idx="2">
                  <c:v>23</c:v>
                </c:pt>
                <c:pt idx="3">
                  <c:v>20</c:v>
                </c:pt>
                <c:pt idx="4">
                  <c:v>28</c:v>
                </c:pt>
                <c:pt idx="5">
                  <c:v>27</c:v>
                </c:pt>
                <c:pt idx="6">
                  <c:v>20</c:v>
                </c:pt>
                <c:pt idx="7">
                  <c:v>25</c:v>
                </c:pt>
                <c:pt idx="8">
                  <c:v>14</c:v>
                </c:pt>
                <c:pt idx="9">
                  <c:v>26</c:v>
                </c:pt>
                <c:pt idx="10">
                  <c:v>32</c:v>
                </c:pt>
                <c:pt idx="11">
                  <c:v>22</c:v>
                </c:pt>
                <c:pt idx="12">
                  <c:v>24</c:v>
                </c:pt>
              </c:numCache>
            </c:numRef>
          </c:val>
          <c:smooth val="0"/>
          <c:extLst>
            <c:ext xmlns:c16="http://schemas.microsoft.com/office/drawing/2014/chart" uri="{C3380CC4-5D6E-409C-BE32-E72D297353CC}">
              <c16:uniqueId val="{00000001-3648-4786-9335-5B8102D4B545}"/>
            </c:ext>
          </c:extLst>
        </c:ser>
        <c:dLbls>
          <c:showLegendKey val="0"/>
          <c:showVal val="0"/>
          <c:showCatName val="0"/>
          <c:showSerName val="0"/>
          <c:showPercent val="0"/>
          <c:showBubbleSize val="0"/>
        </c:dLbls>
        <c:marker val="1"/>
        <c:smooth val="0"/>
        <c:axId val="566597120"/>
        <c:axId val="566603136"/>
      </c:lineChart>
      <c:catAx>
        <c:axId val="566597120"/>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566603136"/>
        <c:crosses val="autoZero"/>
        <c:auto val="1"/>
        <c:lblAlgn val="ctr"/>
        <c:lblOffset val="100"/>
        <c:noMultiLvlLbl val="0"/>
      </c:catAx>
      <c:valAx>
        <c:axId val="566603136"/>
        <c:scaling>
          <c:orientation val="minMax"/>
        </c:scaling>
        <c:delete val="0"/>
        <c:axPos val="l"/>
        <c:numFmt formatCode="General" sourceLinked="1"/>
        <c:majorTickMark val="out"/>
        <c:minorTickMark val="none"/>
        <c:tickLblPos val="nextTo"/>
        <c:spPr>
          <a:ln w="25400"/>
        </c:spPr>
        <c:txPr>
          <a:bodyPr/>
          <a:lstStyle/>
          <a:p>
            <a:pPr>
              <a:defRPr sz="800" b="1"/>
            </a:pPr>
            <a:endParaRPr lang="en-US"/>
          </a:p>
        </c:txPr>
        <c:crossAx val="566597120"/>
        <c:crosses val="autoZero"/>
        <c:crossBetween val="between"/>
      </c:valAx>
    </c:plotArea>
    <c:legend>
      <c:legendPos val="r"/>
      <c:layout>
        <c:manualLayout>
          <c:xMode val="edge"/>
          <c:yMode val="edge"/>
          <c:x val="0.79763861548556436"/>
          <c:y val="2.9495027910243613E-2"/>
          <c:w val="0.18853202919947507"/>
          <c:h val="0.2152563676019370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GB" sz="800">
                <a:latin typeface="+mn-lt"/>
              </a:rPr>
              <a:t>G&amp;A</a:t>
            </a:r>
            <a:r>
              <a:rPr lang="en-GB" sz="800" baseline="0">
                <a:latin typeface="+mn-lt"/>
              </a:rPr>
              <a:t> bed occupancy </a:t>
            </a:r>
            <a:endParaRPr lang="en-GB" sz="800">
              <a:latin typeface="+mn-lt"/>
            </a:endParaRPr>
          </a:p>
        </c:rich>
      </c:tx>
      <c:layout>
        <c:manualLayout>
          <c:xMode val="edge"/>
          <c:yMode val="edge"/>
          <c:x val="0.13809253446158049"/>
          <c:y val="2.1421041534893527E-2"/>
        </c:manualLayout>
      </c:layout>
      <c:overlay val="1"/>
    </c:title>
    <c:autoTitleDeleted val="0"/>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Summary!$C$67</c:f>
              <c:strCache>
                <c:ptCount val="1"/>
                <c:pt idx="0">
                  <c:v>20/21</c:v>
                </c:pt>
              </c:strCache>
            </c:strRef>
          </c:tx>
          <c:spPr>
            <a:solidFill>
              <a:srgbClr val="F79131"/>
            </a:solidFill>
            <a:ln w="19050"/>
          </c:spPr>
          <c:invertIfNegative val="0"/>
          <c:cat>
            <c:strRef>
              <c:f>Summary!$D$4:$P$4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Summary!$D$67:$P$67</c:f>
              <c:numCache>
                <c:formatCode>0.0%</c:formatCode>
                <c:ptCount val="13"/>
                <c:pt idx="0">
                  <c:v>0.87132848938056506</c:v>
                </c:pt>
                <c:pt idx="1">
                  <c:v>0.88944465840683073</c:v>
                </c:pt>
                <c:pt idx="2">
                  <c:v>0.88805132036518131</c:v>
                </c:pt>
                <c:pt idx="3">
                  <c:v>0.82878958398013036</c:v>
                </c:pt>
                <c:pt idx="4">
                  <c:v>0.86668413786050313</c:v>
                </c:pt>
                <c:pt idx="5">
                  <c:v>0.88654682863035061</c:v>
                </c:pt>
                <c:pt idx="6">
                  <c:v>0.87229437909811591</c:v>
                </c:pt>
                <c:pt idx="7">
                  <c:v>0.87596501557125928</c:v>
                </c:pt>
                <c:pt idx="8">
                  <c:v>0.86871120973613958</c:v>
                </c:pt>
                <c:pt idx="9">
                  <c:v>0.86092496840351351</c:v>
                </c:pt>
                <c:pt idx="10">
                  <c:v>0.84420397626141075</c:v>
                </c:pt>
                <c:pt idx="11">
                  <c:v>0.85172699587833334</c:v>
                </c:pt>
                <c:pt idx="12">
                  <c:v>0.85793532631740033</c:v>
                </c:pt>
              </c:numCache>
            </c:numRef>
          </c:val>
          <c:extLst>
            <c:ext xmlns:c16="http://schemas.microsoft.com/office/drawing/2014/chart" uri="{C3380CC4-5D6E-409C-BE32-E72D297353CC}">
              <c16:uniqueId val="{00000000-E34C-4F7F-AD58-E0FD6D5E6F59}"/>
            </c:ext>
          </c:extLst>
        </c:ser>
        <c:dLbls>
          <c:showLegendKey val="0"/>
          <c:showVal val="0"/>
          <c:showCatName val="0"/>
          <c:showSerName val="0"/>
          <c:showPercent val="0"/>
          <c:showBubbleSize val="0"/>
        </c:dLbls>
        <c:gapWidth val="50"/>
        <c:axId val="219400832"/>
        <c:axId val="219951872"/>
      </c:barChart>
      <c:lineChart>
        <c:grouping val="standard"/>
        <c:varyColors val="0"/>
        <c:ser>
          <c:idx val="0"/>
          <c:order val="0"/>
          <c:tx>
            <c:strRef>
              <c:f>Summary!$C$65</c:f>
              <c:strCache>
                <c:ptCount val="1"/>
                <c:pt idx="0">
                  <c:v>19/20</c:v>
                </c:pt>
              </c:strCache>
            </c:strRef>
          </c:tx>
          <c:spPr>
            <a:ln w="25400">
              <a:solidFill>
                <a:srgbClr val="29398F"/>
              </a:solidFill>
              <a:prstDash val="dash"/>
            </a:ln>
          </c:spPr>
          <c:marker>
            <c:symbol val="none"/>
          </c:marker>
          <c:cat>
            <c:numRef>
              <c:f>Summary!$D$5:$P$5</c:f>
              <c:numCache>
                <c:formatCode>General</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Cache>
            </c:numRef>
          </c:cat>
          <c:val>
            <c:numRef>
              <c:f>Summary!$D$65:$P$65</c:f>
              <c:numCache>
                <c:formatCode>0.0%</c:formatCode>
                <c:ptCount val="13"/>
                <c:pt idx="0">
                  <c:v>0.94888026894233257</c:v>
                </c:pt>
                <c:pt idx="1">
                  <c:v>0.94930784695220127</c:v>
                </c:pt>
                <c:pt idx="2">
                  <c:v>0.94160427020062576</c:v>
                </c:pt>
                <c:pt idx="3">
                  <c:v>0.89356762986475669</c:v>
                </c:pt>
                <c:pt idx="4">
                  <c:v>0.94167223037579306</c:v>
                </c:pt>
                <c:pt idx="5">
                  <c:v>0.95106855192815454</c:v>
                </c:pt>
                <c:pt idx="6">
                  <c:v>0.94967036547827555</c:v>
                </c:pt>
                <c:pt idx="7">
                  <c:v>0.94301021970171883</c:v>
                </c:pt>
                <c:pt idx="8">
                  <c:v>0.94817681844545032</c:v>
                </c:pt>
                <c:pt idx="9">
                  <c:v>0.94163650776734609</c:v>
                </c:pt>
                <c:pt idx="10">
                  <c:v>0.94020475284699301</c:v>
                </c:pt>
                <c:pt idx="11">
                  <c:v>0.93727685484389334</c:v>
                </c:pt>
                <c:pt idx="12">
                  <c:v>0.9394634758528988</c:v>
                </c:pt>
              </c:numCache>
            </c:numRef>
          </c:val>
          <c:smooth val="0"/>
          <c:extLst>
            <c:ext xmlns:c16="http://schemas.microsoft.com/office/drawing/2014/chart" uri="{C3380CC4-5D6E-409C-BE32-E72D297353CC}">
              <c16:uniqueId val="{00000001-E34C-4F7F-AD58-E0FD6D5E6F59}"/>
            </c:ext>
          </c:extLst>
        </c:ser>
        <c:ser>
          <c:idx val="3"/>
          <c:order val="2"/>
          <c:tx>
            <c:v>18/19</c:v>
          </c:tx>
          <c:spPr>
            <a:ln w="25400">
              <a:solidFill>
                <a:srgbClr val="00A89C"/>
              </a:solidFill>
              <a:prstDash val="sysDot"/>
            </a:ln>
          </c:spPr>
          <c:marker>
            <c:symbol val="none"/>
          </c:marker>
          <c:cat>
            <c:numRef>
              <c:f>Summary!$D$5:$P$5</c:f>
              <c:numCache>
                <c:formatCode>General</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Cache>
            </c:numRef>
          </c:cat>
          <c:val>
            <c:numRef>
              <c:f>Summary!$D$64:$P$64</c:f>
              <c:numCache>
                <c:formatCode>0.0%</c:formatCode>
                <c:ptCount val="13"/>
                <c:pt idx="0">
                  <c:v>0.94153307969408606</c:v>
                </c:pt>
                <c:pt idx="1">
                  <c:v>0.93393915967339702</c:v>
                </c:pt>
                <c:pt idx="2">
                  <c:v>0.91231222866658579</c:v>
                </c:pt>
                <c:pt idx="3">
                  <c:v>0.87478774834387107</c:v>
                </c:pt>
                <c:pt idx="4">
                  <c:v>0.93198946443206521</c:v>
                </c:pt>
                <c:pt idx="5">
                  <c:v>0.94664745216941659</c:v>
                </c:pt>
                <c:pt idx="6">
                  <c:v>0.94580710332913653</c:v>
                </c:pt>
                <c:pt idx="7">
                  <c:v>0.9462879570034195</c:v>
                </c:pt>
                <c:pt idx="8">
                  <c:v>0.94853000050953185</c:v>
                </c:pt>
                <c:pt idx="9">
                  <c:v>0.952190950570453</c:v>
                </c:pt>
                <c:pt idx="10">
                  <c:v>0.94488805340379345</c:v>
                </c:pt>
                <c:pt idx="11">
                  <c:v>0.93928299164347029</c:v>
                </c:pt>
                <c:pt idx="12">
                  <c:v>0.93794364898777427</c:v>
                </c:pt>
              </c:numCache>
            </c:numRef>
          </c:val>
          <c:smooth val="0"/>
          <c:extLst>
            <c:ext xmlns:c16="http://schemas.microsoft.com/office/drawing/2014/chart" uri="{C3380CC4-5D6E-409C-BE32-E72D297353CC}">
              <c16:uniqueId val="{00000002-E34C-4F7F-AD58-E0FD6D5E6F59}"/>
            </c:ext>
          </c:extLst>
        </c:ser>
        <c:dLbls>
          <c:showLegendKey val="0"/>
          <c:showVal val="0"/>
          <c:showCatName val="0"/>
          <c:showSerName val="0"/>
          <c:showPercent val="0"/>
          <c:showBubbleSize val="0"/>
        </c:dLbls>
        <c:marker val="1"/>
        <c:smooth val="0"/>
        <c:axId val="219400832"/>
        <c:axId val="219951872"/>
      </c:lineChart>
      <c:catAx>
        <c:axId val="219400832"/>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219951872"/>
        <c:crosses val="autoZero"/>
        <c:auto val="1"/>
        <c:lblAlgn val="ctr"/>
        <c:lblOffset val="100"/>
        <c:noMultiLvlLbl val="0"/>
      </c:catAx>
      <c:valAx>
        <c:axId val="219951872"/>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219400832"/>
        <c:crosses val="autoZero"/>
        <c:crossBetween val="between"/>
        <c:majorUnit val="0.1"/>
      </c:valAx>
    </c:plotArea>
    <c:legend>
      <c:legendPos val="r"/>
      <c:layout>
        <c:manualLayout>
          <c:xMode val="edge"/>
          <c:yMode val="edge"/>
          <c:x val="0.42107751750565003"/>
          <c:y val="0"/>
          <c:w val="0.57803839797030043"/>
          <c:h val="0.10904888630673301"/>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0.12393531453729574"/>
          <c:w val="0.87354694444444447"/>
          <c:h val="0.82740919481838959"/>
        </c:manualLayout>
      </c:layout>
      <c:barChart>
        <c:barDir val="col"/>
        <c:grouping val="clustered"/>
        <c:varyColors val="0"/>
        <c:ser>
          <c:idx val="1"/>
          <c:order val="0"/>
          <c:tx>
            <c:strRef>
              <c:f>Summary!$C$85</c:f>
              <c:strCache>
                <c:ptCount val="1"/>
                <c:pt idx="0">
                  <c:v>20/21</c:v>
                </c:pt>
              </c:strCache>
            </c:strRef>
          </c:tx>
          <c:spPr>
            <a:solidFill>
              <a:srgbClr val="F79131"/>
            </a:solidFill>
            <a:ln w="19050"/>
          </c:spPr>
          <c:invertIfNegative val="0"/>
          <c:cat>
            <c:numRef>
              <c:f>Summary!$D$5:$P$5</c:f>
              <c:numCache>
                <c:formatCode>General</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Cache>
            </c:numRef>
          </c:cat>
          <c:val>
            <c:numRef>
              <c:f>Summary!$D$85:$P$85</c:f>
              <c:numCache>
                <c:formatCode>#,##0</c:formatCode>
                <c:ptCount val="13"/>
                <c:pt idx="0">
                  <c:v>34728.142857142855</c:v>
                </c:pt>
                <c:pt idx="1">
                  <c:v>35472.714285714283</c:v>
                </c:pt>
                <c:pt idx="2">
                  <c:v>36472.571428571428</c:v>
                </c:pt>
                <c:pt idx="3">
                  <c:v>34907.428571428572</c:v>
                </c:pt>
                <c:pt idx="4">
                  <c:v>36063.571428571428</c:v>
                </c:pt>
                <c:pt idx="5">
                  <c:v>37844.285714285717</c:v>
                </c:pt>
                <c:pt idx="6">
                  <c:v>37004.428571428572</c:v>
                </c:pt>
                <c:pt idx="7">
                  <c:v>36503.571428571428</c:v>
                </c:pt>
                <c:pt idx="8">
                  <c:v>36763.285714285717</c:v>
                </c:pt>
                <c:pt idx="9">
                  <c:v>36596.714285714283</c:v>
                </c:pt>
                <c:pt idx="10">
                  <c:v>35704.857142857145</c:v>
                </c:pt>
                <c:pt idx="11">
                  <c:v>34989.285714285717</c:v>
                </c:pt>
                <c:pt idx="12">
                  <c:v>35430.285714285717</c:v>
                </c:pt>
              </c:numCache>
            </c:numRef>
          </c:val>
          <c:extLst>
            <c:ext xmlns:c16="http://schemas.microsoft.com/office/drawing/2014/chart" uri="{C3380CC4-5D6E-409C-BE32-E72D297353CC}">
              <c16:uniqueId val="{00000000-F593-4034-89BD-0D7350798262}"/>
            </c:ext>
          </c:extLst>
        </c:ser>
        <c:dLbls>
          <c:showLegendKey val="0"/>
          <c:showVal val="0"/>
          <c:showCatName val="0"/>
          <c:showSerName val="0"/>
          <c:showPercent val="0"/>
          <c:showBubbleSize val="0"/>
        </c:dLbls>
        <c:gapWidth val="50"/>
        <c:axId val="333572352"/>
        <c:axId val="333584640"/>
      </c:barChart>
      <c:lineChart>
        <c:grouping val="standard"/>
        <c:varyColors val="0"/>
        <c:ser>
          <c:idx val="0"/>
          <c:order val="1"/>
          <c:tx>
            <c:strRef>
              <c:f>Summary!$C$83</c:f>
              <c:strCache>
                <c:ptCount val="1"/>
                <c:pt idx="0">
                  <c:v>19/20</c:v>
                </c:pt>
              </c:strCache>
            </c:strRef>
          </c:tx>
          <c:spPr>
            <a:ln w="25400">
              <a:solidFill>
                <a:srgbClr val="29398F"/>
              </a:solidFill>
              <a:prstDash val="dash"/>
            </a:ln>
          </c:spPr>
          <c:marker>
            <c:symbol val="none"/>
          </c:marker>
          <c:val>
            <c:numRef>
              <c:f>Summary!$D$83:$P$83</c:f>
              <c:numCache>
                <c:formatCode>#,##0</c:formatCode>
                <c:ptCount val="13"/>
                <c:pt idx="0">
                  <c:v>42353.857142857145</c:v>
                </c:pt>
                <c:pt idx="1">
                  <c:v>42015</c:v>
                </c:pt>
                <c:pt idx="2">
                  <c:v>41386.571428571428</c:v>
                </c:pt>
                <c:pt idx="3">
                  <c:v>40775.571428571428</c:v>
                </c:pt>
                <c:pt idx="4">
                  <c:v>44293.857142857145</c:v>
                </c:pt>
                <c:pt idx="5">
                  <c:v>44755.714285714283</c:v>
                </c:pt>
                <c:pt idx="6">
                  <c:v>44463.285714285717</c:v>
                </c:pt>
                <c:pt idx="7">
                  <c:v>44319</c:v>
                </c:pt>
                <c:pt idx="8">
                  <c:v>43811.857142857145</c:v>
                </c:pt>
                <c:pt idx="9">
                  <c:v>43662.714285714283</c:v>
                </c:pt>
                <c:pt idx="10">
                  <c:v>43538</c:v>
                </c:pt>
                <c:pt idx="11">
                  <c:v>43416.714285714283</c:v>
                </c:pt>
                <c:pt idx="12">
                  <c:v>43146.571428571428</c:v>
                </c:pt>
              </c:numCache>
            </c:numRef>
          </c:val>
          <c:smooth val="0"/>
          <c:extLst>
            <c:ext xmlns:c16="http://schemas.microsoft.com/office/drawing/2014/chart" uri="{C3380CC4-5D6E-409C-BE32-E72D297353CC}">
              <c16:uniqueId val="{00000001-F593-4034-89BD-0D7350798262}"/>
            </c:ext>
          </c:extLst>
        </c:ser>
        <c:ser>
          <c:idx val="2"/>
          <c:order val="2"/>
          <c:tx>
            <c:v>18/19</c:v>
          </c:tx>
          <c:spPr>
            <a:ln w="25400">
              <a:solidFill>
                <a:srgbClr val="00A89C"/>
              </a:solidFill>
              <a:prstDash val="sysDot"/>
            </a:ln>
          </c:spPr>
          <c:marker>
            <c:symbol val="none"/>
          </c:marker>
          <c:val>
            <c:numRef>
              <c:f>Summary!$D$82:$P$82</c:f>
              <c:numCache>
                <c:formatCode>General</c:formatCode>
                <c:ptCount val="13"/>
                <c:pt idx="0">
                  <c:v>40658.428571428572</c:v>
                </c:pt>
                <c:pt idx="1">
                  <c:v>40129.428571428572</c:v>
                </c:pt>
                <c:pt idx="2">
                  <c:v>37680.571428571428</c:v>
                </c:pt>
                <c:pt idx="3">
                  <c:v>38508.714285714283</c:v>
                </c:pt>
                <c:pt idx="4">
                  <c:v>41687</c:v>
                </c:pt>
                <c:pt idx="5">
                  <c:v>42190.571428571428</c:v>
                </c:pt>
                <c:pt idx="6">
                  <c:v>42338.428571428572</c:v>
                </c:pt>
                <c:pt idx="7">
                  <c:v>42406</c:v>
                </c:pt>
                <c:pt idx="8">
                  <c:v>42625.285714285717</c:v>
                </c:pt>
                <c:pt idx="9">
                  <c:v>42515.571428571428</c:v>
                </c:pt>
                <c:pt idx="10">
                  <c:v>42977.714285714283</c:v>
                </c:pt>
                <c:pt idx="11">
                  <c:v>42593</c:v>
                </c:pt>
                <c:pt idx="12">
                  <c:v>42292.857142857145</c:v>
                </c:pt>
              </c:numCache>
            </c:numRef>
          </c:val>
          <c:smooth val="0"/>
          <c:extLst>
            <c:ext xmlns:c16="http://schemas.microsoft.com/office/drawing/2014/chart" uri="{C3380CC4-5D6E-409C-BE32-E72D297353CC}">
              <c16:uniqueId val="{00000002-F593-4034-89BD-0D7350798262}"/>
            </c:ext>
          </c:extLst>
        </c:ser>
        <c:dLbls>
          <c:showLegendKey val="0"/>
          <c:showVal val="0"/>
          <c:showCatName val="0"/>
          <c:showSerName val="0"/>
          <c:showPercent val="0"/>
          <c:showBubbleSize val="0"/>
        </c:dLbls>
        <c:marker val="1"/>
        <c:smooth val="0"/>
        <c:axId val="333572352"/>
        <c:axId val="333584640"/>
      </c:lineChart>
      <c:catAx>
        <c:axId val="333572352"/>
        <c:scaling>
          <c:orientation val="minMax"/>
        </c:scaling>
        <c:delete val="0"/>
        <c:axPos val="b"/>
        <c:numFmt formatCode="General" sourceLinked="1"/>
        <c:majorTickMark val="out"/>
        <c:minorTickMark val="none"/>
        <c:tickLblPos val="nextTo"/>
        <c:spPr>
          <a:ln w="15875">
            <a:solidFill>
              <a:schemeClr val="bg2"/>
            </a:solidFill>
          </a:ln>
        </c:spPr>
        <c:txPr>
          <a:bodyPr/>
          <a:lstStyle/>
          <a:p>
            <a:pPr>
              <a:defRPr sz="800" b="1"/>
            </a:pPr>
            <a:endParaRPr lang="en-US"/>
          </a:p>
        </c:txPr>
        <c:crossAx val="333584640"/>
        <c:crosses val="autoZero"/>
        <c:auto val="1"/>
        <c:lblAlgn val="ctr"/>
        <c:lblOffset val="100"/>
        <c:noMultiLvlLbl val="0"/>
      </c:catAx>
      <c:valAx>
        <c:axId val="333584640"/>
        <c:scaling>
          <c:orientation val="minMax"/>
        </c:scaling>
        <c:delete val="0"/>
        <c:axPos val="l"/>
        <c:numFmt formatCode="#,##0" sourceLinked="0"/>
        <c:majorTickMark val="none"/>
        <c:minorTickMark val="none"/>
        <c:tickLblPos val="nextTo"/>
        <c:spPr>
          <a:ln w="50800">
            <a:solidFill>
              <a:srgbClr val="CED8DD"/>
            </a:solidFill>
          </a:ln>
        </c:spPr>
        <c:txPr>
          <a:bodyPr/>
          <a:lstStyle/>
          <a:p>
            <a:pPr>
              <a:defRPr sz="800" b="1"/>
            </a:pPr>
            <a:endParaRPr lang="en-US"/>
          </a:p>
        </c:txPr>
        <c:crossAx val="333572352"/>
        <c:crosses val="autoZero"/>
        <c:crossBetween val="between"/>
      </c:valAx>
    </c:plotArea>
    <c:legend>
      <c:legendPos val="r"/>
      <c:legendEntry>
        <c:idx val="0"/>
        <c:txPr>
          <a:bodyPr/>
          <a:lstStyle/>
          <a:p>
            <a:pPr>
              <a:defRPr sz="700"/>
            </a:pPr>
            <a:endParaRPr lang="en-US"/>
          </a:p>
        </c:txPr>
      </c:legendEntry>
      <c:legendEntry>
        <c:idx val="1"/>
        <c:txPr>
          <a:bodyPr/>
          <a:lstStyle/>
          <a:p>
            <a:pPr>
              <a:defRPr sz="700"/>
            </a:pPr>
            <a:endParaRPr lang="en-US"/>
          </a:p>
        </c:txPr>
      </c:legendEntry>
      <c:legendEntry>
        <c:idx val="2"/>
        <c:txPr>
          <a:bodyPr/>
          <a:lstStyle/>
          <a:p>
            <a:pPr>
              <a:defRPr sz="700"/>
            </a:pPr>
            <a:endParaRPr lang="en-US"/>
          </a:p>
        </c:txPr>
      </c:legendEntry>
      <c:layout>
        <c:manualLayout>
          <c:xMode val="edge"/>
          <c:yMode val="edge"/>
          <c:x val="0.51490311927192722"/>
          <c:y val="6.6068485625342911E-3"/>
          <c:w val="0.48509688072807272"/>
          <c:h val="0.11692170554152428"/>
        </c:manualLayout>
      </c:layout>
      <c:overlay val="1"/>
      <c:spPr>
        <a:solidFill>
          <a:sysClr val="window" lastClr="FFFFFF"/>
        </a:solidFill>
      </c:sp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876432277844732"/>
          <c:y val="0.14528048841780036"/>
          <c:w val="0.8622711111111111"/>
          <c:h val="0.652039669537952"/>
        </c:manualLayout>
      </c:layout>
      <c:barChart>
        <c:barDir val="col"/>
        <c:grouping val="clustered"/>
        <c:varyColors val="0"/>
        <c:ser>
          <c:idx val="1"/>
          <c:order val="0"/>
          <c:tx>
            <c:strRef>
              <c:f>Summary!$C$108</c:f>
              <c:strCache>
                <c:ptCount val="1"/>
                <c:pt idx="0">
                  <c:v>20/21</c:v>
                </c:pt>
              </c:strCache>
            </c:strRef>
          </c:tx>
          <c:spPr>
            <a:solidFill>
              <a:srgbClr val="F79131"/>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Summary!$D$108:$P$108</c:f>
              <c:numCache>
                <c:formatCode>#,##0</c:formatCode>
                <c:ptCount val="13"/>
                <c:pt idx="0">
                  <c:v>11336</c:v>
                </c:pt>
                <c:pt idx="1">
                  <c:v>11411.142857142857</c:v>
                </c:pt>
                <c:pt idx="2">
                  <c:v>11401.142857142857</c:v>
                </c:pt>
                <c:pt idx="3">
                  <c:v>11233.285714285714</c:v>
                </c:pt>
                <c:pt idx="4">
                  <c:v>11928.142857142857</c:v>
                </c:pt>
                <c:pt idx="5">
                  <c:v>12541</c:v>
                </c:pt>
                <c:pt idx="6">
                  <c:v>11895.571428571429</c:v>
                </c:pt>
                <c:pt idx="7">
                  <c:v>11374</c:v>
                </c:pt>
                <c:pt idx="8">
                  <c:v>11252.428571428571</c:v>
                </c:pt>
                <c:pt idx="9">
                  <c:v>11406.285714285714</c:v>
                </c:pt>
                <c:pt idx="10">
                  <c:v>11559</c:v>
                </c:pt>
                <c:pt idx="11">
                  <c:v>11585.285714285714</c:v>
                </c:pt>
                <c:pt idx="12">
                  <c:v>11560.428571428571</c:v>
                </c:pt>
              </c:numCache>
            </c:numRef>
          </c:val>
          <c:extLst>
            <c:ext xmlns:c16="http://schemas.microsoft.com/office/drawing/2014/chart" uri="{C3380CC4-5D6E-409C-BE32-E72D297353CC}">
              <c16:uniqueId val="{00000000-3D40-4E92-A250-F151C7313C06}"/>
            </c:ext>
          </c:extLst>
        </c:ser>
        <c:dLbls>
          <c:showLegendKey val="0"/>
          <c:showVal val="0"/>
          <c:showCatName val="0"/>
          <c:showSerName val="0"/>
          <c:showPercent val="0"/>
          <c:showBubbleSize val="0"/>
        </c:dLbls>
        <c:gapWidth val="50"/>
        <c:axId val="411742976"/>
        <c:axId val="411745280"/>
      </c:barChart>
      <c:lineChart>
        <c:grouping val="standard"/>
        <c:varyColors val="0"/>
        <c:ser>
          <c:idx val="0"/>
          <c:order val="1"/>
          <c:tx>
            <c:strRef>
              <c:f>Summary!$C$106</c:f>
              <c:strCache>
                <c:ptCount val="1"/>
                <c:pt idx="0">
                  <c:v>19/20</c:v>
                </c:pt>
              </c:strCache>
            </c:strRef>
          </c:tx>
          <c:spPr>
            <a:ln w="25400">
              <a:solidFill>
                <a:srgbClr val="29398F"/>
              </a:solidFill>
              <a:prstDash val="dash"/>
            </a:ln>
          </c:spPr>
          <c:marker>
            <c:symbol val="none"/>
          </c:marker>
          <c:val>
            <c:numRef>
              <c:f>Summary!$D$106:$P$106</c:f>
              <c:numCache>
                <c:formatCode>#,##0</c:formatCode>
                <c:ptCount val="13"/>
                <c:pt idx="0">
                  <c:v>15383.714285714286</c:v>
                </c:pt>
                <c:pt idx="1">
                  <c:v>15362</c:v>
                </c:pt>
                <c:pt idx="2">
                  <c:v>15044.857142857143</c:v>
                </c:pt>
                <c:pt idx="3">
                  <c:v>14660.571428571429</c:v>
                </c:pt>
                <c:pt idx="4">
                  <c:v>16412.857142857141</c:v>
                </c:pt>
                <c:pt idx="5">
                  <c:v>17087</c:v>
                </c:pt>
                <c:pt idx="6">
                  <c:v>16828.142857142859</c:v>
                </c:pt>
                <c:pt idx="7">
                  <c:v>16632.428571428572</c:v>
                </c:pt>
                <c:pt idx="8">
                  <c:v>16630.857142857141</c:v>
                </c:pt>
                <c:pt idx="9">
                  <c:v>16398.714285714286</c:v>
                </c:pt>
                <c:pt idx="10">
                  <c:v>16455.142857142859</c:v>
                </c:pt>
                <c:pt idx="11">
                  <c:v>16353.285714285714</c:v>
                </c:pt>
                <c:pt idx="12">
                  <c:v>16204.714285714286</c:v>
                </c:pt>
              </c:numCache>
            </c:numRef>
          </c:val>
          <c:smooth val="0"/>
          <c:extLst>
            <c:ext xmlns:c16="http://schemas.microsoft.com/office/drawing/2014/chart" uri="{C3380CC4-5D6E-409C-BE32-E72D297353CC}">
              <c16:uniqueId val="{00000001-3D40-4E92-A250-F151C7313C06}"/>
            </c:ext>
          </c:extLst>
        </c:ser>
        <c:ser>
          <c:idx val="2"/>
          <c:order val="2"/>
          <c:tx>
            <c:v>18/19</c:v>
          </c:tx>
          <c:spPr>
            <a:ln w="25400">
              <a:solidFill>
                <a:srgbClr val="00A89C"/>
              </a:solidFill>
              <a:prstDash val="sysDot"/>
            </a:ln>
          </c:spPr>
          <c:marker>
            <c:symbol val="none"/>
          </c:marker>
          <c:val>
            <c:numRef>
              <c:f>Summary!$D$105:$P$105</c:f>
              <c:numCache>
                <c:formatCode>#,##0</c:formatCode>
                <c:ptCount val="13"/>
                <c:pt idx="0">
                  <c:v>14924.714285714286</c:v>
                </c:pt>
                <c:pt idx="1">
                  <c:v>14588.571428571429</c:v>
                </c:pt>
                <c:pt idx="2">
                  <c:v>13976.857142857143</c:v>
                </c:pt>
                <c:pt idx="3">
                  <c:v>14105.857142857143</c:v>
                </c:pt>
                <c:pt idx="4">
                  <c:v>15564.142857142857</c:v>
                </c:pt>
                <c:pt idx="5">
                  <c:v>16009.142857142857</c:v>
                </c:pt>
                <c:pt idx="6">
                  <c:v>15653.428571428571</c:v>
                </c:pt>
                <c:pt idx="7">
                  <c:v>15549.857142857143</c:v>
                </c:pt>
                <c:pt idx="8">
                  <c:v>15636.714285714286</c:v>
                </c:pt>
                <c:pt idx="9">
                  <c:v>15513.285714285714</c:v>
                </c:pt>
                <c:pt idx="10">
                  <c:v>15632.285714285714</c:v>
                </c:pt>
                <c:pt idx="11">
                  <c:v>15644.285714285714</c:v>
                </c:pt>
                <c:pt idx="12">
                  <c:v>16095.714285714286</c:v>
                </c:pt>
              </c:numCache>
            </c:numRef>
          </c:val>
          <c:smooth val="0"/>
          <c:extLst>
            <c:ext xmlns:c16="http://schemas.microsoft.com/office/drawing/2014/chart" uri="{C3380CC4-5D6E-409C-BE32-E72D297353CC}">
              <c16:uniqueId val="{00000002-3D40-4E92-A250-F151C7313C06}"/>
            </c:ext>
          </c:extLst>
        </c:ser>
        <c:dLbls>
          <c:showLegendKey val="0"/>
          <c:showVal val="0"/>
          <c:showCatName val="0"/>
          <c:showSerName val="0"/>
          <c:showPercent val="0"/>
          <c:showBubbleSize val="0"/>
        </c:dLbls>
        <c:marker val="1"/>
        <c:smooth val="0"/>
        <c:axId val="411742976"/>
        <c:axId val="411745280"/>
      </c:lineChart>
      <c:catAx>
        <c:axId val="411742976"/>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411745280"/>
        <c:crosses val="autoZero"/>
        <c:auto val="1"/>
        <c:lblAlgn val="ctr"/>
        <c:lblOffset val="100"/>
        <c:noMultiLvlLbl val="0"/>
      </c:catAx>
      <c:valAx>
        <c:axId val="411745280"/>
        <c:scaling>
          <c:orientation val="minMax"/>
        </c:scaling>
        <c:delete val="0"/>
        <c:axPos val="l"/>
        <c:numFmt formatCode="#,##0" sourceLinked="0"/>
        <c:majorTickMark val="none"/>
        <c:minorTickMark val="none"/>
        <c:tickLblPos val="nextTo"/>
        <c:spPr>
          <a:ln w="50800">
            <a:solidFill>
              <a:srgbClr val="CED8DD"/>
            </a:solidFill>
          </a:ln>
        </c:spPr>
        <c:txPr>
          <a:bodyPr/>
          <a:lstStyle/>
          <a:p>
            <a:pPr>
              <a:defRPr sz="800" b="1"/>
            </a:pPr>
            <a:endParaRPr lang="en-US"/>
          </a:p>
        </c:txPr>
        <c:crossAx val="411742976"/>
        <c:crosses val="autoZero"/>
        <c:crossBetween val="between"/>
      </c:valAx>
    </c:plotArea>
    <c:legend>
      <c:legendPos val="r"/>
      <c:legendEntry>
        <c:idx val="0"/>
        <c:txPr>
          <a:bodyPr/>
          <a:lstStyle/>
          <a:p>
            <a:pPr>
              <a:defRPr sz="700"/>
            </a:pPr>
            <a:endParaRPr lang="en-US"/>
          </a:p>
        </c:txPr>
      </c:legendEntry>
      <c:legendEntry>
        <c:idx val="1"/>
        <c:txPr>
          <a:bodyPr/>
          <a:lstStyle/>
          <a:p>
            <a:pPr>
              <a:defRPr sz="700"/>
            </a:pPr>
            <a:endParaRPr lang="en-US"/>
          </a:p>
        </c:txPr>
      </c:legendEntry>
      <c:legendEntry>
        <c:idx val="2"/>
        <c:txPr>
          <a:bodyPr/>
          <a:lstStyle/>
          <a:p>
            <a:pPr>
              <a:defRPr sz="700"/>
            </a:pPr>
            <a:endParaRPr lang="en-US"/>
          </a:p>
        </c:txPr>
      </c:legendEntry>
      <c:layout>
        <c:manualLayout>
          <c:xMode val="edge"/>
          <c:yMode val="edge"/>
          <c:x val="0.46943695479777953"/>
          <c:y val="3.7497916870570872E-2"/>
          <c:w val="0.50261697065820776"/>
          <c:h val="0.12601479364043502"/>
        </c:manualLayout>
      </c:layout>
      <c:overlay val="0"/>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Summary!$C$120</c:f>
              <c:strCache>
                <c:ptCount val="1"/>
                <c:pt idx="0">
                  <c:v>20/21</c:v>
                </c:pt>
              </c:strCache>
            </c:strRef>
          </c:tx>
          <c:spPr>
            <a:solidFill>
              <a:srgbClr val="F79131"/>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Summary!$D$120:$P$120</c:f>
              <c:numCache>
                <c:formatCode>#,##0</c:formatCode>
                <c:ptCount val="13"/>
                <c:pt idx="0">
                  <c:v>58.285714285714285</c:v>
                </c:pt>
                <c:pt idx="1">
                  <c:v>49.857142857142854</c:v>
                </c:pt>
                <c:pt idx="2">
                  <c:v>68</c:v>
                </c:pt>
                <c:pt idx="3">
                  <c:v>45.714285714285715</c:v>
                </c:pt>
                <c:pt idx="4">
                  <c:v>49.714285714285715</c:v>
                </c:pt>
                <c:pt idx="5">
                  <c:v>76.428571428571431</c:v>
                </c:pt>
                <c:pt idx="6">
                  <c:v>21.571428571428573</c:v>
                </c:pt>
                <c:pt idx="7">
                  <c:v>17.428571428571427</c:v>
                </c:pt>
                <c:pt idx="8">
                  <c:v>28.142857142857142</c:v>
                </c:pt>
                <c:pt idx="9">
                  <c:v>35.714285714285715</c:v>
                </c:pt>
                <c:pt idx="10">
                  <c:v>26.714285714285715</c:v>
                </c:pt>
                <c:pt idx="11">
                  <c:v>23.714285714285715</c:v>
                </c:pt>
                <c:pt idx="12">
                  <c:v>26.285714285714285</c:v>
                </c:pt>
              </c:numCache>
            </c:numRef>
          </c:val>
          <c:extLst>
            <c:ext xmlns:c16="http://schemas.microsoft.com/office/drawing/2014/chart" uri="{C3380CC4-5D6E-409C-BE32-E72D297353CC}">
              <c16:uniqueId val="{00000000-9037-4505-BD0F-368B2AB4986E}"/>
            </c:ext>
          </c:extLst>
        </c:ser>
        <c:dLbls>
          <c:showLegendKey val="0"/>
          <c:showVal val="0"/>
          <c:showCatName val="0"/>
          <c:showSerName val="0"/>
          <c:showPercent val="0"/>
          <c:showBubbleSize val="0"/>
        </c:dLbls>
        <c:gapWidth val="50"/>
        <c:axId val="411904640"/>
        <c:axId val="419249536"/>
      </c:barChart>
      <c:lineChart>
        <c:grouping val="standard"/>
        <c:varyColors val="0"/>
        <c:ser>
          <c:idx val="0"/>
          <c:order val="0"/>
          <c:tx>
            <c:strRef>
              <c:f>Summary!$C$118</c:f>
              <c:strCache>
                <c:ptCount val="1"/>
                <c:pt idx="0">
                  <c:v>19/20</c:v>
                </c:pt>
              </c:strCache>
            </c:strRef>
          </c:tx>
          <c:spPr>
            <a:ln w="25400">
              <a:solidFill>
                <a:srgbClr val="29398F"/>
              </a:solidFill>
              <a:prstDash val="dash"/>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Summary!$D$118:$P$118</c:f>
              <c:numCache>
                <c:formatCode>#,##0</c:formatCode>
                <c:ptCount val="13"/>
                <c:pt idx="0">
                  <c:v>1025.7142857142858</c:v>
                </c:pt>
                <c:pt idx="1">
                  <c:v>892.42857142857144</c:v>
                </c:pt>
                <c:pt idx="2">
                  <c:v>799</c:v>
                </c:pt>
                <c:pt idx="3">
                  <c:v>447.85714285714283</c:v>
                </c:pt>
                <c:pt idx="4">
                  <c:v>554.57142857142856</c:v>
                </c:pt>
                <c:pt idx="5">
                  <c:v>804.28571428571433</c:v>
                </c:pt>
                <c:pt idx="6">
                  <c:v>626.71428571428567</c:v>
                </c:pt>
                <c:pt idx="7">
                  <c:v>773.42857142857144</c:v>
                </c:pt>
                <c:pt idx="8">
                  <c:v>775</c:v>
                </c:pt>
                <c:pt idx="9">
                  <c:v>657</c:v>
                </c:pt>
                <c:pt idx="10">
                  <c:v>578.57142857142856</c:v>
                </c:pt>
                <c:pt idx="11">
                  <c:v>507</c:v>
                </c:pt>
                <c:pt idx="12">
                  <c:v>608.14285714285711</c:v>
                </c:pt>
              </c:numCache>
            </c:numRef>
          </c:val>
          <c:smooth val="0"/>
          <c:extLst>
            <c:ext xmlns:c16="http://schemas.microsoft.com/office/drawing/2014/chart" uri="{C3380CC4-5D6E-409C-BE32-E72D297353CC}">
              <c16:uniqueId val="{00000001-9037-4505-BD0F-368B2AB4986E}"/>
            </c:ext>
          </c:extLst>
        </c:ser>
        <c:ser>
          <c:idx val="2"/>
          <c:order val="2"/>
          <c:tx>
            <c:v>18/19</c:v>
          </c:tx>
          <c:spPr>
            <a:ln w="25400">
              <a:solidFill>
                <a:srgbClr val="00A89C"/>
              </a:solidFill>
              <a:prstDash val="sysDot"/>
            </a:ln>
          </c:spPr>
          <c:marker>
            <c:symbol val="none"/>
          </c:marker>
          <c:val>
            <c:numRef>
              <c:f>Summary!$D$117:$P$117</c:f>
              <c:numCache>
                <c:formatCode>#,##0</c:formatCode>
                <c:ptCount val="13"/>
                <c:pt idx="0">
                  <c:v>493.57142857142856</c:v>
                </c:pt>
                <c:pt idx="1">
                  <c:v>372.85714285714283</c:v>
                </c:pt>
                <c:pt idx="2">
                  <c:v>510.85714285714283</c:v>
                </c:pt>
                <c:pt idx="3">
                  <c:v>504.28571428571428</c:v>
                </c:pt>
                <c:pt idx="4">
                  <c:v>397.85714285714283</c:v>
                </c:pt>
                <c:pt idx="5">
                  <c:v>616.85714285714289</c:v>
                </c:pt>
                <c:pt idx="6">
                  <c:v>566.71428571428567</c:v>
                </c:pt>
                <c:pt idx="7">
                  <c:v>530</c:v>
                </c:pt>
                <c:pt idx="8">
                  <c:v>708.85714285714289</c:v>
                </c:pt>
                <c:pt idx="9">
                  <c:v>652.85714285714289</c:v>
                </c:pt>
                <c:pt idx="10">
                  <c:v>628.42857142857144</c:v>
                </c:pt>
                <c:pt idx="11">
                  <c:v>557.14285714285711</c:v>
                </c:pt>
                <c:pt idx="12">
                  <c:v>683.57142857142856</c:v>
                </c:pt>
              </c:numCache>
            </c:numRef>
          </c:val>
          <c:smooth val="0"/>
          <c:extLst>
            <c:ext xmlns:c16="http://schemas.microsoft.com/office/drawing/2014/chart" uri="{C3380CC4-5D6E-409C-BE32-E72D297353CC}">
              <c16:uniqueId val="{00000002-9037-4505-BD0F-368B2AB4986E}"/>
            </c:ext>
          </c:extLst>
        </c:ser>
        <c:dLbls>
          <c:showLegendKey val="0"/>
          <c:showVal val="0"/>
          <c:showCatName val="0"/>
          <c:showSerName val="0"/>
          <c:showPercent val="0"/>
          <c:showBubbleSize val="0"/>
        </c:dLbls>
        <c:marker val="1"/>
        <c:smooth val="0"/>
        <c:axId val="411904640"/>
        <c:axId val="419249536"/>
      </c:lineChart>
      <c:catAx>
        <c:axId val="411904640"/>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419249536"/>
        <c:crosses val="autoZero"/>
        <c:auto val="1"/>
        <c:lblAlgn val="ctr"/>
        <c:lblOffset val="100"/>
        <c:noMultiLvlLbl val="0"/>
      </c:catAx>
      <c:valAx>
        <c:axId val="419249536"/>
        <c:scaling>
          <c:orientation val="minMax"/>
        </c:scaling>
        <c:delete val="0"/>
        <c:axPos val="l"/>
        <c:numFmt formatCode="#,##0" sourceLinked="0"/>
        <c:majorTickMark val="none"/>
        <c:minorTickMark val="none"/>
        <c:tickLblPos val="nextTo"/>
        <c:spPr>
          <a:ln w="50800">
            <a:solidFill>
              <a:srgbClr val="CED8DD"/>
            </a:solidFill>
          </a:ln>
        </c:spPr>
        <c:txPr>
          <a:bodyPr/>
          <a:lstStyle/>
          <a:p>
            <a:pPr>
              <a:defRPr sz="800" b="1"/>
            </a:pPr>
            <a:endParaRPr lang="en-US"/>
          </a:p>
        </c:txPr>
        <c:crossAx val="411904640"/>
        <c:crosses val="autoZero"/>
        <c:crossBetween val="between"/>
      </c:valAx>
    </c:plotArea>
    <c:legend>
      <c:legendPos val="r"/>
      <c:layout>
        <c:manualLayout>
          <c:xMode val="edge"/>
          <c:yMode val="edge"/>
          <c:x val="0.41263573085846866"/>
          <c:y val="2.0904295403165137E-3"/>
          <c:w val="0.58736426914153128"/>
          <c:h val="9.3755850727387735E-2"/>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Summary!$C$136</c:f>
              <c:strCache>
                <c:ptCount val="1"/>
                <c:pt idx="0">
                  <c:v>20/21</c:v>
                </c:pt>
              </c:strCache>
            </c:strRef>
          </c:tx>
          <c:spPr>
            <a:solidFill>
              <a:srgbClr val="F79131"/>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Summary!$D$136:$P$136</c:f>
              <c:numCache>
                <c:formatCode>0</c:formatCode>
                <c:ptCount val="13"/>
                <c:pt idx="0">
                  <c:v>26.428571428571427</c:v>
                </c:pt>
                <c:pt idx="1">
                  <c:v>20.142857142857142</c:v>
                </c:pt>
                <c:pt idx="2">
                  <c:v>21.428571428571427</c:v>
                </c:pt>
                <c:pt idx="3">
                  <c:v>16.714285714285715</c:v>
                </c:pt>
                <c:pt idx="4">
                  <c:v>11.142857142857142</c:v>
                </c:pt>
                <c:pt idx="5">
                  <c:v>7.1428571428571432</c:v>
                </c:pt>
                <c:pt idx="6">
                  <c:v>5</c:v>
                </c:pt>
                <c:pt idx="7">
                  <c:v>5</c:v>
                </c:pt>
                <c:pt idx="8">
                  <c:v>6</c:v>
                </c:pt>
                <c:pt idx="9">
                  <c:v>16.714285714285715</c:v>
                </c:pt>
                <c:pt idx="10">
                  <c:v>12</c:v>
                </c:pt>
                <c:pt idx="11">
                  <c:v>9.5714285714285712</c:v>
                </c:pt>
                <c:pt idx="12">
                  <c:v>7.8571428571428568</c:v>
                </c:pt>
              </c:numCache>
            </c:numRef>
          </c:val>
          <c:extLst>
            <c:ext xmlns:c16="http://schemas.microsoft.com/office/drawing/2014/chart" uri="{C3380CC4-5D6E-409C-BE32-E72D297353CC}">
              <c16:uniqueId val="{00000000-EEA5-4AA1-BEB7-917B449FC105}"/>
            </c:ext>
          </c:extLst>
        </c:ser>
        <c:dLbls>
          <c:showLegendKey val="0"/>
          <c:showVal val="0"/>
          <c:showCatName val="0"/>
          <c:showSerName val="0"/>
          <c:showPercent val="0"/>
          <c:showBubbleSize val="0"/>
        </c:dLbls>
        <c:gapWidth val="50"/>
        <c:axId val="435401088"/>
        <c:axId val="435403392"/>
      </c:barChart>
      <c:lineChart>
        <c:grouping val="standard"/>
        <c:varyColors val="0"/>
        <c:ser>
          <c:idx val="0"/>
          <c:order val="0"/>
          <c:tx>
            <c:strRef>
              <c:f>Summary!$C$134</c:f>
              <c:strCache>
                <c:ptCount val="1"/>
                <c:pt idx="0">
                  <c:v>19/20</c:v>
                </c:pt>
              </c:strCache>
            </c:strRef>
          </c:tx>
          <c:spPr>
            <a:ln w="25400">
              <a:solidFill>
                <a:srgbClr val="29398F"/>
              </a:solidFill>
              <a:prstDash val="dash"/>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Summary!$D$134:$P$134</c:f>
              <c:numCache>
                <c:formatCode>0</c:formatCode>
                <c:ptCount val="13"/>
                <c:pt idx="0">
                  <c:v>171.42857142857142</c:v>
                </c:pt>
                <c:pt idx="1">
                  <c:v>146.42857142857142</c:v>
                </c:pt>
                <c:pt idx="2">
                  <c:v>138.57142857142858</c:v>
                </c:pt>
                <c:pt idx="3">
                  <c:v>84.571428571428569</c:v>
                </c:pt>
                <c:pt idx="4">
                  <c:v>74.571428571428569</c:v>
                </c:pt>
                <c:pt idx="5">
                  <c:v>123.42857142857143</c:v>
                </c:pt>
                <c:pt idx="6">
                  <c:v>99.571428571428569</c:v>
                </c:pt>
                <c:pt idx="7">
                  <c:v>145.71428571428572</c:v>
                </c:pt>
                <c:pt idx="8">
                  <c:v>146.14285714285714</c:v>
                </c:pt>
                <c:pt idx="9">
                  <c:v>137.28571428571428</c:v>
                </c:pt>
                <c:pt idx="10">
                  <c:v>125.57142857142857</c:v>
                </c:pt>
                <c:pt idx="11">
                  <c:v>103.57142857142857</c:v>
                </c:pt>
                <c:pt idx="12">
                  <c:v>125.71428571428571</c:v>
                </c:pt>
              </c:numCache>
            </c:numRef>
          </c:val>
          <c:smooth val="0"/>
          <c:extLst>
            <c:ext xmlns:c16="http://schemas.microsoft.com/office/drawing/2014/chart" uri="{C3380CC4-5D6E-409C-BE32-E72D297353CC}">
              <c16:uniqueId val="{00000001-EEA5-4AA1-BEB7-917B449FC105}"/>
            </c:ext>
          </c:extLst>
        </c:ser>
        <c:ser>
          <c:idx val="2"/>
          <c:order val="2"/>
          <c:tx>
            <c:v>18/19</c:v>
          </c:tx>
          <c:spPr>
            <a:ln w="25400">
              <a:solidFill>
                <a:srgbClr val="00A89C"/>
              </a:solidFill>
              <a:prstDash val="sysDot"/>
            </a:ln>
          </c:spPr>
          <c:marker>
            <c:symbol val="none"/>
          </c:marker>
          <c:val>
            <c:numRef>
              <c:f>Summary!$D$133:$P$133</c:f>
              <c:numCache>
                <c:formatCode>0</c:formatCode>
                <c:ptCount val="13"/>
                <c:pt idx="0">
                  <c:v>135.28571428571428</c:v>
                </c:pt>
                <c:pt idx="1">
                  <c:v>106.85714285714286</c:v>
                </c:pt>
                <c:pt idx="2">
                  <c:v>136</c:v>
                </c:pt>
                <c:pt idx="3">
                  <c:v>112.71428571428571</c:v>
                </c:pt>
                <c:pt idx="4">
                  <c:v>67.428571428571431</c:v>
                </c:pt>
                <c:pt idx="5">
                  <c:v>130.71428571428572</c:v>
                </c:pt>
                <c:pt idx="6">
                  <c:v>124.57142857142857</c:v>
                </c:pt>
                <c:pt idx="7">
                  <c:v>106.71428571428571</c:v>
                </c:pt>
                <c:pt idx="8">
                  <c:v>138</c:v>
                </c:pt>
                <c:pt idx="9">
                  <c:v>155.42857142857142</c:v>
                </c:pt>
                <c:pt idx="10">
                  <c:v>137.14285714285714</c:v>
                </c:pt>
                <c:pt idx="11">
                  <c:v>114.42857142857143</c:v>
                </c:pt>
                <c:pt idx="12">
                  <c:v>135.28571428571428</c:v>
                </c:pt>
              </c:numCache>
            </c:numRef>
          </c:val>
          <c:smooth val="0"/>
          <c:extLst>
            <c:ext xmlns:c16="http://schemas.microsoft.com/office/drawing/2014/chart" uri="{C3380CC4-5D6E-409C-BE32-E72D297353CC}">
              <c16:uniqueId val="{00000002-EEA5-4AA1-BEB7-917B449FC105}"/>
            </c:ext>
          </c:extLst>
        </c:ser>
        <c:dLbls>
          <c:showLegendKey val="0"/>
          <c:showVal val="0"/>
          <c:showCatName val="0"/>
          <c:showSerName val="0"/>
          <c:showPercent val="0"/>
          <c:showBubbleSize val="0"/>
        </c:dLbls>
        <c:marker val="1"/>
        <c:smooth val="0"/>
        <c:axId val="435401088"/>
        <c:axId val="435403392"/>
      </c:lineChart>
      <c:catAx>
        <c:axId val="435401088"/>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435403392"/>
        <c:crosses val="autoZero"/>
        <c:auto val="1"/>
        <c:lblAlgn val="ctr"/>
        <c:lblOffset val="100"/>
        <c:noMultiLvlLbl val="0"/>
      </c:catAx>
      <c:valAx>
        <c:axId val="435403392"/>
        <c:scaling>
          <c:orientation val="minMax"/>
          <c:min val="0"/>
        </c:scaling>
        <c:delete val="0"/>
        <c:axPos val="l"/>
        <c:numFmt formatCode="#,##0" sourceLinked="0"/>
        <c:majorTickMark val="none"/>
        <c:minorTickMark val="none"/>
        <c:tickLblPos val="nextTo"/>
        <c:spPr>
          <a:ln w="50800">
            <a:solidFill>
              <a:srgbClr val="CED8DD"/>
            </a:solidFill>
          </a:ln>
        </c:spPr>
        <c:txPr>
          <a:bodyPr/>
          <a:lstStyle/>
          <a:p>
            <a:pPr>
              <a:defRPr sz="800" b="1"/>
            </a:pPr>
            <a:endParaRPr lang="en-US"/>
          </a:p>
        </c:txPr>
        <c:crossAx val="435401088"/>
        <c:crosses val="autoZero"/>
        <c:crossBetween val="between"/>
      </c:valAx>
    </c:plotArea>
    <c:legend>
      <c:legendPos val="r"/>
      <c:layout>
        <c:manualLayout>
          <c:xMode val="edge"/>
          <c:yMode val="edge"/>
          <c:x val="0.47451480824348302"/>
          <c:y val="2.4626978146194732E-3"/>
          <c:w val="0.51396260406714889"/>
          <c:h val="0.1419531941808981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GB" sz="800">
                <a:latin typeface="+mn-lt"/>
              </a:rPr>
              <a:t>Adult</a:t>
            </a:r>
            <a:r>
              <a:rPr lang="en-GB" sz="800" baseline="0">
                <a:latin typeface="+mn-lt"/>
              </a:rPr>
              <a:t> critical care occupancy</a:t>
            </a:r>
            <a:endParaRPr lang="en-GB" sz="800">
              <a:latin typeface="+mn-lt"/>
            </a:endParaRPr>
          </a:p>
        </c:rich>
      </c:tx>
      <c:layout>
        <c:manualLayout>
          <c:xMode val="edge"/>
          <c:yMode val="edge"/>
          <c:x val="0.11895187522960289"/>
          <c:y val="4.8696513398334473E-2"/>
        </c:manualLayout>
      </c:layout>
      <c:overlay val="1"/>
    </c:title>
    <c:autoTitleDeleted val="0"/>
    <c:plotArea>
      <c:layout>
        <c:manualLayout>
          <c:layoutTarget val="inner"/>
          <c:xMode val="edge"/>
          <c:yMode val="edge"/>
          <c:x val="9.6666848642009001E-2"/>
          <c:y val="4.6387940122285476E-2"/>
          <c:w val="0.88249621437936654"/>
          <c:h val="0.69560986007426961"/>
        </c:manualLayout>
      </c:layout>
      <c:barChart>
        <c:barDir val="col"/>
        <c:grouping val="clustered"/>
        <c:varyColors val="0"/>
        <c:ser>
          <c:idx val="1"/>
          <c:order val="1"/>
          <c:tx>
            <c:strRef>
              <c:f>Summary!$C$180</c:f>
              <c:strCache>
                <c:ptCount val="1"/>
                <c:pt idx="0">
                  <c:v>20/21</c:v>
                </c:pt>
              </c:strCache>
            </c:strRef>
          </c:tx>
          <c:spPr>
            <a:solidFill>
              <a:srgbClr val="F79131"/>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Summary!$D$180:$P$180</c:f>
              <c:numCache>
                <c:formatCode>0.0%</c:formatCode>
                <c:ptCount val="13"/>
                <c:pt idx="0">
                  <c:v>0.73717077590111957</c:v>
                </c:pt>
                <c:pt idx="1">
                  <c:v>0.75170078994035139</c:v>
                </c:pt>
                <c:pt idx="2">
                  <c:v>0.77040799389171066</c:v>
                </c:pt>
                <c:pt idx="3">
                  <c:v>0.76018467340767959</c:v>
                </c:pt>
                <c:pt idx="4">
                  <c:v>0.79547469805840088</c:v>
                </c:pt>
                <c:pt idx="5">
                  <c:v>0.83428857603917428</c:v>
                </c:pt>
                <c:pt idx="6">
                  <c:v>0.86481113320079528</c:v>
                </c:pt>
                <c:pt idx="7">
                  <c:v>0.87135040799962271</c:v>
                </c:pt>
                <c:pt idx="8">
                  <c:v>0.8617799345236713</c:v>
                </c:pt>
                <c:pt idx="9">
                  <c:v>0.83258975993201612</c:v>
                </c:pt>
                <c:pt idx="10">
                  <c:v>0.79740577581987271</c:v>
                </c:pt>
                <c:pt idx="11">
                  <c:v>0.77386114370249448</c:v>
                </c:pt>
                <c:pt idx="12">
                  <c:v>0.75271739130434778</c:v>
                </c:pt>
              </c:numCache>
            </c:numRef>
          </c:val>
          <c:extLst>
            <c:ext xmlns:c16="http://schemas.microsoft.com/office/drawing/2014/chart" uri="{C3380CC4-5D6E-409C-BE32-E72D297353CC}">
              <c16:uniqueId val="{00000000-588D-4AA4-834F-66BA975794EC}"/>
            </c:ext>
          </c:extLst>
        </c:ser>
        <c:dLbls>
          <c:showLegendKey val="0"/>
          <c:showVal val="0"/>
          <c:showCatName val="0"/>
          <c:showSerName val="0"/>
          <c:showPercent val="0"/>
          <c:showBubbleSize val="0"/>
        </c:dLbls>
        <c:gapWidth val="50"/>
        <c:axId val="459632640"/>
        <c:axId val="459635712"/>
      </c:barChart>
      <c:lineChart>
        <c:grouping val="standard"/>
        <c:varyColors val="0"/>
        <c:ser>
          <c:idx val="0"/>
          <c:order val="0"/>
          <c:tx>
            <c:strRef>
              <c:f>Summary!$C$178</c:f>
              <c:strCache>
                <c:ptCount val="1"/>
                <c:pt idx="0">
                  <c:v>19/20</c:v>
                </c:pt>
              </c:strCache>
            </c:strRef>
          </c:tx>
          <c:spPr>
            <a:ln w="25400">
              <a:solidFill>
                <a:srgbClr val="29398F"/>
              </a:solidFill>
              <a:prstDash val="dash"/>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Summary!$D$178:$P$178</c:f>
              <c:numCache>
                <c:formatCode>0.0%</c:formatCode>
                <c:ptCount val="13"/>
                <c:pt idx="0">
                  <c:v>0.83083453405506447</c:v>
                </c:pt>
                <c:pt idx="1">
                  <c:v>0.83786411542799366</c:v>
                </c:pt>
                <c:pt idx="2">
                  <c:v>0.8412383177570093</c:v>
                </c:pt>
                <c:pt idx="3">
                  <c:v>0.78613350027388684</c:v>
                </c:pt>
                <c:pt idx="4">
                  <c:v>0.82354774613316706</c:v>
                </c:pt>
                <c:pt idx="5">
                  <c:v>0.84481688392302923</c:v>
                </c:pt>
                <c:pt idx="6">
                  <c:v>0.83203883495145636</c:v>
                </c:pt>
                <c:pt idx="7">
                  <c:v>0.81908099688473524</c:v>
                </c:pt>
                <c:pt idx="8">
                  <c:v>0.82227857978930941</c:v>
                </c:pt>
                <c:pt idx="9">
                  <c:v>0.81373885275906388</c:v>
                </c:pt>
                <c:pt idx="10">
                  <c:v>0.81617332451670621</c:v>
                </c:pt>
                <c:pt idx="11">
                  <c:v>0.81046031622400494</c:v>
                </c:pt>
                <c:pt idx="12">
                  <c:v>0.81750175329229335</c:v>
                </c:pt>
              </c:numCache>
            </c:numRef>
          </c:val>
          <c:smooth val="0"/>
          <c:extLst>
            <c:ext xmlns:c16="http://schemas.microsoft.com/office/drawing/2014/chart" uri="{C3380CC4-5D6E-409C-BE32-E72D297353CC}">
              <c16:uniqueId val="{00000001-588D-4AA4-834F-66BA975794EC}"/>
            </c:ext>
          </c:extLst>
        </c:ser>
        <c:ser>
          <c:idx val="3"/>
          <c:order val="2"/>
          <c:tx>
            <c:v>18/19</c:v>
          </c:tx>
          <c:spPr>
            <a:ln w="25400">
              <a:solidFill>
                <a:srgbClr val="00A89C"/>
              </a:solidFill>
              <a:prstDash val="sysDot"/>
            </a:ln>
          </c:spPr>
          <c:marker>
            <c:symbol val="none"/>
          </c:marker>
          <c:val>
            <c:numRef>
              <c:f>Summary!$D$177:$P$177</c:f>
              <c:numCache>
                <c:formatCode>0.0%</c:formatCode>
                <c:ptCount val="13"/>
                <c:pt idx="0">
                  <c:v>0.8214008988067566</c:v>
                </c:pt>
                <c:pt idx="1">
                  <c:v>0.81303841676367872</c:v>
                </c:pt>
                <c:pt idx="2">
                  <c:v>0.80945519685346001</c:v>
                </c:pt>
                <c:pt idx="3">
                  <c:v>0.76777882205513781</c:v>
                </c:pt>
                <c:pt idx="4">
                  <c:v>0.832857422256992</c:v>
                </c:pt>
                <c:pt idx="5">
                  <c:v>0.8522935422268989</c:v>
                </c:pt>
                <c:pt idx="6">
                  <c:v>0.85241907413853113</c:v>
                </c:pt>
                <c:pt idx="7">
                  <c:v>0.85280763708331719</c:v>
                </c:pt>
                <c:pt idx="8">
                  <c:v>0.85627029534560073</c:v>
                </c:pt>
                <c:pt idx="9">
                  <c:v>0.85657153950689191</c:v>
                </c:pt>
                <c:pt idx="10">
                  <c:v>0.85114622057001244</c:v>
                </c:pt>
                <c:pt idx="11">
                  <c:v>0.833916355721393</c:v>
                </c:pt>
                <c:pt idx="12">
                  <c:v>0.82496897300651562</c:v>
                </c:pt>
              </c:numCache>
            </c:numRef>
          </c:val>
          <c:smooth val="0"/>
          <c:extLst>
            <c:ext xmlns:c16="http://schemas.microsoft.com/office/drawing/2014/chart" uri="{C3380CC4-5D6E-409C-BE32-E72D297353CC}">
              <c16:uniqueId val="{00000002-588D-4AA4-834F-66BA975794EC}"/>
            </c:ext>
          </c:extLst>
        </c:ser>
        <c:dLbls>
          <c:showLegendKey val="0"/>
          <c:showVal val="0"/>
          <c:showCatName val="0"/>
          <c:showSerName val="0"/>
          <c:showPercent val="0"/>
          <c:showBubbleSize val="0"/>
        </c:dLbls>
        <c:marker val="1"/>
        <c:smooth val="0"/>
        <c:axId val="459632640"/>
        <c:axId val="459635712"/>
      </c:lineChart>
      <c:catAx>
        <c:axId val="459632640"/>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459635712"/>
        <c:crosses val="autoZero"/>
        <c:auto val="1"/>
        <c:lblAlgn val="ctr"/>
        <c:lblOffset val="100"/>
        <c:noMultiLvlLbl val="0"/>
      </c:catAx>
      <c:valAx>
        <c:axId val="459635712"/>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459632640"/>
        <c:crosses val="autoZero"/>
        <c:crossBetween val="between"/>
        <c:majorUnit val="0.1"/>
      </c:valAx>
    </c:plotArea>
    <c:legend>
      <c:legendPos val="r"/>
      <c:layout>
        <c:manualLayout>
          <c:xMode val="edge"/>
          <c:yMode val="edge"/>
          <c:x val="0.46438520606877387"/>
          <c:y val="2.0676914161052138E-2"/>
          <c:w val="0.52784049694419399"/>
          <c:h val="0.13052952485628649"/>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a:pPr>
            <a:r>
              <a:rPr lang="en-GB" sz="800">
                <a:latin typeface="+mn-lt"/>
              </a:rPr>
              <a:t>Paediatric</a:t>
            </a:r>
            <a:r>
              <a:rPr lang="en-GB" sz="800" baseline="0">
                <a:latin typeface="+mn-lt"/>
              </a:rPr>
              <a:t> intensive care occupancy</a:t>
            </a:r>
          </a:p>
        </c:rich>
      </c:tx>
      <c:layout>
        <c:manualLayout>
          <c:xMode val="edge"/>
          <c:yMode val="edge"/>
          <c:x val="0.11633636658396113"/>
          <c:y val="2.4637555843781526E-2"/>
        </c:manualLayout>
      </c:layout>
      <c:overlay val="1"/>
    </c:title>
    <c:autoTitleDeleted val="0"/>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Summary!$C$204</c:f>
              <c:strCache>
                <c:ptCount val="1"/>
                <c:pt idx="0">
                  <c:v>20/21</c:v>
                </c:pt>
              </c:strCache>
            </c:strRef>
          </c:tx>
          <c:spPr>
            <a:solidFill>
              <a:srgbClr val="F79131"/>
            </a:solidFill>
            <a:ln w="19050"/>
          </c:spPr>
          <c:invertIfNegative val="0"/>
          <c:cat>
            <c:numRef>
              <c:f>Summary!$D$5:$P$5</c:f>
              <c:numCache>
                <c:formatCode>General</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Cache>
            </c:numRef>
          </c:cat>
          <c:val>
            <c:numRef>
              <c:f>Summary!$D$204:$P$204</c:f>
              <c:numCache>
                <c:formatCode>0.0%</c:formatCode>
                <c:ptCount val="13"/>
                <c:pt idx="0">
                  <c:v>0.63000931966449203</c:v>
                </c:pt>
                <c:pt idx="1">
                  <c:v>0.63224068253255505</c:v>
                </c:pt>
                <c:pt idx="2">
                  <c:v>0.65779981965734902</c:v>
                </c:pt>
                <c:pt idx="3">
                  <c:v>0.64035087719298245</c:v>
                </c:pt>
                <c:pt idx="4">
                  <c:v>0.62046204620462042</c:v>
                </c:pt>
                <c:pt idx="5">
                  <c:v>0.63027656477438132</c:v>
                </c:pt>
                <c:pt idx="6">
                  <c:v>0.67001003009027083</c:v>
                </c:pt>
                <c:pt idx="7">
                  <c:v>0.70876826722338204</c:v>
                </c:pt>
                <c:pt idx="8">
                  <c:v>0.71752021563342316</c:v>
                </c:pt>
                <c:pt idx="9">
                  <c:v>0.68656716417910446</c:v>
                </c:pt>
                <c:pt idx="10">
                  <c:v>0.68619022031166044</c:v>
                </c:pt>
                <c:pt idx="11">
                  <c:v>0.6808176100628931</c:v>
                </c:pt>
                <c:pt idx="12">
                  <c:v>0.71501272264631044</c:v>
                </c:pt>
              </c:numCache>
            </c:numRef>
          </c:val>
          <c:extLst>
            <c:ext xmlns:c16="http://schemas.microsoft.com/office/drawing/2014/chart" uri="{C3380CC4-5D6E-409C-BE32-E72D297353CC}">
              <c16:uniqueId val="{00000000-34F8-401D-9AD3-59E797B48A91}"/>
            </c:ext>
          </c:extLst>
        </c:ser>
        <c:dLbls>
          <c:showLegendKey val="0"/>
          <c:showVal val="0"/>
          <c:showCatName val="0"/>
          <c:showSerName val="0"/>
          <c:showPercent val="0"/>
          <c:showBubbleSize val="0"/>
        </c:dLbls>
        <c:gapWidth val="50"/>
        <c:axId val="463088256"/>
        <c:axId val="498782208"/>
      </c:barChart>
      <c:lineChart>
        <c:grouping val="standard"/>
        <c:varyColors val="0"/>
        <c:ser>
          <c:idx val="0"/>
          <c:order val="0"/>
          <c:tx>
            <c:strRef>
              <c:f>Summary!$C$202</c:f>
              <c:strCache>
                <c:ptCount val="1"/>
                <c:pt idx="0">
                  <c:v>19/20</c:v>
                </c:pt>
              </c:strCache>
            </c:strRef>
          </c:tx>
          <c:spPr>
            <a:ln w="25400">
              <a:solidFill>
                <a:srgbClr val="29398F"/>
              </a:solidFill>
              <a:prstDash val="dash"/>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Summary!$D$202:$P$202</c:f>
              <c:numCache>
                <c:formatCode>0.0%</c:formatCode>
                <c:ptCount val="13"/>
                <c:pt idx="0">
                  <c:v>0.86875315497223626</c:v>
                </c:pt>
                <c:pt idx="1">
                  <c:v>0.85352255448555503</c:v>
                </c:pt>
                <c:pt idx="2">
                  <c:v>0.85447195553309752</c:v>
                </c:pt>
                <c:pt idx="3">
                  <c:v>0.82015503875968987</c:v>
                </c:pt>
                <c:pt idx="4">
                  <c:v>0.80145152928978747</c:v>
                </c:pt>
                <c:pt idx="5">
                  <c:v>0.8007284079084287</c:v>
                </c:pt>
                <c:pt idx="6">
                  <c:v>0.79655712050078242</c:v>
                </c:pt>
                <c:pt idx="7">
                  <c:v>0.77703398558187431</c:v>
                </c:pt>
                <c:pt idx="8">
                  <c:v>0.78215767634854771</c:v>
                </c:pt>
                <c:pt idx="9">
                  <c:v>0.7951370926021728</c:v>
                </c:pt>
                <c:pt idx="10">
                  <c:v>0.75413223140495866</c:v>
                </c:pt>
                <c:pt idx="11">
                  <c:v>0.77308294209702655</c:v>
                </c:pt>
                <c:pt idx="12">
                  <c:v>0.78416149068322982</c:v>
                </c:pt>
              </c:numCache>
            </c:numRef>
          </c:val>
          <c:smooth val="0"/>
          <c:extLst>
            <c:ext xmlns:c16="http://schemas.microsoft.com/office/drawing/2014/chart" uri="{C3380CC4-5D6E-409C-BE32-E72D297353CC}">
              <c16:uniqueId val="{00000001-34F8-401D-9AD3-59E797B48A91}"/>
            </c:ext>
          </c:extLst>
        </c:ser>
        <c:ser>
          <c:idx val="3"/>
          <c:order val="2"/>
          <c:tx>
            <c:v>18/19</c:v>
          </c:tx>
          <c:spPr>
            <a:ln w="25400">
              <a:solidFill>
                <a:srgbClr val="00A89C"/>
              </a:solidFill>
              <a:prstDash val="sysDot"/>
            </a:ln>
          </c:spPr>
          <c:marker>
            <c:symbol val="none"/>
          </c:marker>
          <c:val>
            <c:numRef>
              <c:f>Summary!$D$201:$P$201</c:f>
              <c:numCache>
                <c:formatCode>0.0%</c:formatCode>
                <c:ptCount val="13"/>
                <c:pt idx="0">
                  <c:v>0.8470066518847007</c:v>
                </c:pt>
                <c:pt idx="1">
                  <c:v>0.79902329075882794</c:v>
                </c:pt>
                <c:pt idx="2">
                  <c:v>0.80173482032218091</c:v>
                </c:pt>
                <c:pt idx="3">
                  <c:v>0.75762784701332186</c:v>
                </c:pt>
                <c:pt idx="4">
                  <c:v>0.73459119496855341</c:v>
                </c:pt>
                <c:pt idx="5">
                  <c:v>0.79054726368159201</c:v>
                </c:pt>
                <c:pt idx="6">
                  <c:v>0.8119218910585817</c:v>
                </c:pt>
                <c:pt idx="7">
                  <c:v>0.7984415584415584</c:v>
                </c:pt>
                <c:pt idx="8">
                  <c:v>0.80603015075376883</c:v>
                </c:pt>
                <c:pt idx="9">
                  <c:v>0.7935710698141637</c:v>
                </c:pt>
                <c:pt idx="10">
                  <c:v>0.79300000000000004</c:v>
                </c:pt>
                <c:pt idx="11">
                  <c:v>0.77272727272727271</c:v>
                </c:pt>
                <c:pt idx="12">
                  <c:v>0.75228891149542221</c:v>
                </c:pt>
              </c:numCache>
            </c:numRef>
          </c:val>
          <c:smooth val="0"/>
          <c:extLst>
            <c:ext xmlns:c16="http://schemas.microsoft.com/office/drawing/2014/chart" uri="{C3380CC4-5D6E-409C-BE32-E72D297353CC}">
              <c16:uniqueId val="{00000002-34F8-401D-9AD3-59E797B48A91}"/>
            </c:ext>
          </c:extLst>
        </c:ser>
        <c:dLbls>
          <c:showLegendKey val="0"/>
          <c:showVal val="0"/>
          <c:showCatName val="0"/>
          <c:showSerName val="0"/>
          <c:showPercent val="0"/>
          <c:showBubbleSize val="0"/>
        </c:dLbls>
        <c:marker val="1"/>
        <c:smooth val="0"/>
        <c:axId val="463088256"/>
        <c:axId val="498782208"/>
      </c:lineChart>
      <c:catAx>
        <c:axId val="463088256"/>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498782208"/>
        <c:crosses val="autoZero"/>
        <c:auto val="1"/>
        <c:lblAlgn val="ctr"/>
        <c:lblOffset val="100"/>
        <c:noMultiLvlLbl val="0"/>
      </c:catAx>
      <c:valAx>
        <c:axId val="498782208"/>
        <c:scaling>
          <c:orientation val="minMax"/>
          <c:max val="1"/>
          <c:min val="0.1"/>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463088256"/>
        <c:crosses val="autoZero"/>
        <c:crossBetween val="between"/>
        <c:majorUnit val="0.1"/>
      </c:valAx>
    </c:plotArea>
    <c:legend>
      <c:legendPos val="r"/>
      <c:layout>
        <c:manualLayout>
          <c:xMode val="edge"/>
          <c:yMode val="edge"/>
          <c:x val="0.44031023816465986"/>
          <c:y val="7.8438638749922796E-2"/>
          <c:w val="0.55531565860414789"/>
          <c:h val="7.0251785971630329E-2"/>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900"/>
            </a:pPr>
            <a:r>
              <a:rPr lang="en-GB" sz="800" b="1">
                <a:latin typeface="+mn-lt"/>
              </a:rPr>
              <a:t>Neonatal</a:t>
            </a:r>
            <a:r>
              <a:rPr lang="en-GB" sz="800" b="1" baseline="0">
                <a:latin typeface="+mn-lt"/>
              </a:rPr>
              <a:t> intensive care o</a:t>
            </a:r>
            <a:r>
              <a:rPr lang="en-GB" sz="800" b="1">
                <a:latin typeface="+mn-lt"/>
              </a:rPr>
              <a:t>ccupancy</a:t>
            </a:r>
            <a:endParaRPr lang="en-GB" sz="800" b="1" baseline="0">
              <a:latin typeface="+mn-lt"/>
            </a:endParaRPr>
          </a:p>
        </c:rich>
      </c:tx>
      <c:layout>
        <c:manualLayout>
          <c:xMode val="edge"/>
          <c:yMode val="edge"/>
          <c:x val="0.11203782470606118"/>
          <c:y val="2.6773378576767305E-2"/>
        </c:manualLayout>
      </c:layout>
      <c:overlay val="1"/>
    </c:title>
    <c:autoTitleDeleted val="0"/>
    <c:plotArea>
      <c:layout>
        <c:manualLayout>
          <c:layoutTarget val="inner"/>
          <c:xMode val="edge"/>
          <c:yMode val="edge"/>
          <c:x val="0.10372927287362491"/>
          <c:y val="8.4642085539047535E-2"/>
          <c:w val="0.90911089238845144"/>
          <c:h val="0.74377762365196576"/>
        </c:manualLayout>
      </c:layout>
      <c:barChart>
        <c:barDir val="col"/>
        <c:grouping val="clustered"/>
        <c:varyColors val="0"/>
        <c:ser>
          <c:idx val="1"/>
          <c:order val="1"/>
          <c:tx>
            <c:strRef>
              <c:f>Summary!$C$228</c:f>
              <c:strCache>
                <c:ptCount val="1"/>
                <c:pt idx="0">
                  <c:v>20/21</c:v>
                </c:pt>
              </c:strCache>
            </c:strRef>
          </c:tx>
          <c:spPr>
            <a:solidFill>
              <a:srgbClr val="F79131"/>
            </a:solidFill>
            <a:ln w="19050"/>
          </c:spPr>
          <c:invertIfNegative val="0"/>
          <c:cat>
            <c:strRef>
              <c:f>Summary!$D$4:$P$4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Summary!$D$228:$P$228</c:f>
              <c:numCache>
                <c:formatCode>0.0%</c:formatCode>
                <c:ptCount val="13"/>
                <c:pt idx="0">
                  <c:v>0.61681567777476742</c:v>
                </c:pt>
                <c:pt idx="1">
                  <c:v>0.62331081081081086</c:v>
                </c:pt>
                <c:pt idx="2">
                  <c:v>0.65003141549232568</c:v>
                </c:pt>
                <c:pt idx="3">
                  <c:v>0.64797961412449945</c:v>
                </c:pt>
                <c:pt idx="4">
                  <c:v>0.64350370302642401</c:v>
                </c:pt>
                <c:pt idx="5">
                  <c:v>0.65659893831228267</c:v>
                </c:pt>
                <c:pt idx="6">
                  <c:v>0.65577660156962947</c:v>
                </c:pt>
                <c:pt idx="7">
                  <c:v>0.65172475745598279</c:v>
                </c:pt>
                <c:pt idx="8">
                  <c:v>0.64859563085153815</c:v>
                </c:pt>
                <c:pt idx="9">
                  <c:v>0.6371357053459682</c:v>
                </c:pt>
                <c:pt idx="10">
                  <c:v>0.63764768588433862</c:v>
                </c:pt>
                <c:pt idx="11">
                  <c:v>0.64123276846079547</c:v>
                </c:pt>
                <c:pt idx="12">
                  <c:v>0.6508063087010455</c:v>
                </c:pt>
              </c:numCache>
            </c:numRef>
          </c:val>
          <c:extLst>
            <c:ext xmlns:c16="http://schemas.microsoft.com/office/drawing/2014/chart" uri="{C3380CC4-5D6E-409C-BE32-E72D297353CC}">
              <c16:uniqueId val="{00000000-27EC-4CFA-B942-E4BC1BD22551}"/>
            </c:ext>
          </c:extLst>
        </c:ser>
        <c:dLbls>
          <c:showLegendKey val="0"/>
          <c:showVal val="0"/>
          <c:showCatName val="0"/>
          <c:showSerName val="0"/>
          <c:showPercent val="0"/>
          <c:showBubbleSize val="0"/>
        </c:dLbls>
        <c:gapWidth val="50"/>
        <c:axId val="561923968"/>
        <c:axId val="561932160"/>
      </c:barChart>
      <c:lineChart>
        <c:grouping val="standard"/>
        <c:varyColors val="0"/>
        <c:ser>
          <c:idx val="0"/>
          <c:order val="0"/>
          <c:tx>
            <c:strRef>
              <c:f>Summary!$C$226</c:f>
              <c:strCache>
                <c:ptCount val="1"/>
                <c:pt idx="0">
                  <c:v>19/20</c:v>
                </c:pt>
              </c:strCache>
            </c:strRef>
          </c:tx>
          <c:spPr>
            <a:ln w="25400">
              <a:solidFill>
                <a:srgbClr val="29398F"/>
              </a:solidFill>
              <a:prstDash val="dash"/>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Summary!$D$226:$P$226</c:f>
              <c:numCache>
                <c:formatCode>0.0%</c:formatCode>
                <c:ptCount val="13"/>
                <c:pt idx="0">
                  <c:v>0.73157389635316694</c:v>
                </c:pt>
                <c:pt idx="1">
                  <c:v>0.74428653735356254</c:v>
                </c:pt>
                <c:pt idx="2">
                  <c:v>0.74739259401014257</c:v>
                </c:pt>
                <c:pt idx="3">
                  <c:v>0.71139386928860615</c:v>
                </c:pt>
                <c:pt idx="4">
                  <c:v>0.69080027029636071</c:v>
                </c:pt>
                <c:pt idx="5">
                  <c:v>0.70377503852080125</c:v>
                </c:pt>
                <c:pt idx="6">
                  <c:v>0.69971236816874405</c:v>
                </c:pt>
                <c:pt idx="7">
                  <c:v>0.6976788981989791</c:v>
                </c:pt>
                <c:pt idx="8">
                  <c:v>0.70355349555813051</c:v>
                </c:pt>
                <c:pt idx="9">
                  <c:v>0.69191677054367628</c:v>
                </c:pt>
                <c:pt idx="10">
                  <c:v>0.70221752903907075</c:v>
                </c:pt>
                <c:pt idx="11">
                  <c:v>0.69187997315693606</c:v>
                </c:pt>
                <c:pt idx="12">
                  <c:v>0.67915896038158274</c:v>
                </c:pt>
              </c:numCache>
            </c:numRef>
          </c:val>
          <c:smooth val="0"/>
          <c:extLst>
            <c:ext xmlns:c16="http://schemas.microsoft.com/office/drawing/2014/chart" uri="{C3380CC4-5D6E-409C-BE32-E72D297353CC}">
              <c16:uniqueId val="{00000001-27EC-4CFA-B942-E4BC1BD22551}"/>
            </c:ext>
          </c:extLst>
        </c:ser>
        <c:ser>
          <c:idx val="3"/>
          <c:order val="2"/>
          <c:tx>
            <c:v>18/19</c:v>
          </c:tx>
          <c:spPr>
            <a:ln w="25400">
              <a:solidFill>
                <a:srgbClr val="00A89C"/>
              </a:solidFill>
              <a:prstDash val="sysDot"/>
            </a:ln>
          </c:spPr>
          <c:marker>
            <c:symbol val="none"/>
          </c:marker>
          <c:val>
            <c:numRef>
              <c:f>Summary!$D$225:$P$225</c:f>
              <c:numCache>
                <c:formatCode>0.0%</c:formatCode>
                <c:ptCount val="13"/>
                <c:pt idx="0">
                  <c:v>0.69096181730304496</c:v>
                </c:pt>
                <c:pt idx="1">
                  <c:v>0.68640308582449372</c:v>
                </c:pt>
                <c:pt idx="2">
                  <c:v>0.70125482625482627</c:v>
                </c:pt>
                <c:pt idx="3">
                  <c:v>0.67523772559673978</c:v>
                </c:pt>
                <c:pt idx="4">
                  <c:v>0.67860967773342418</c:v>
                </c:pt>
                <c:pt idx="5">
                  <c:v>0.7047045101088647</c:v>
                </c:pt>
                <c:pt idx="6">
                  <c:v>0.70674656872221153</c:v>
                </c:pt>
                <c:pt idx="7">
                  <c:v>0.69299999999999995</c:v>
                </c:pt>
                <c:pt idx="8">
                  <c:v>0.69054028071524709</c:v>
                </c:pt>
                <c:pt idx="9">
                  <c:v>0.68815229996134519</c:v>
                </c:pt>
                <c:pt idx="10">
                  <c:v>0.68855932203389836</c:v>
                </c:pt>
                <c:pt idx="11">
                  <c:v>0.68424101969872542</c:v>
                </c:pt>
                <c:pt idx="12">
                  <c:v>0.67744738366480017</c:v>
                </c:pt>
              </c:numCache>
            </c:numRef>
          </c:val>
          <c:smooth val="0"/>
          <c:extLst>
            <c:ext xmlns:c16="http://schemas.microsoft.com/office/drawing/2014/chart" uri="{C3380CC4-5D6E-409C-BE32-E72D297353CC}">
              <c16:uniqueId val="{00000002-27EC-4CFA-B942-E4BC1BD22551}"/>
            </c:ext>
          </c:extLst>
        </c:ser>
        <c:dLbls>
          <c:showLegendKey val="0"/>
          <c:showVal val="0"/>
          <c:showCatName val="0"/>
          <c:showSerName val="0"/>
          <c:showPercent val="0"/>
          <c:showBubbleSize val="0"/>
        </c:dLbls>
        <c:marker val="1"/>
        <c:smooth val="0"/>
        <c:axId val="561923968"/>
        <c:axId val="561932160"/>
      </c:lineChart>
      <c:catAx>
        <c:axId val="561923968"/>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61932160"/>
        <c:crosses val="autoZero"/>
        <c:auto val="1"/>
        <c:lblAlgn val="ctr"/>
        <c:lblOffset val="100"/>
        <c:noMultiLvlLbl val="0"/>
      </c:catAx>
      <c:valAx>
        <c:axId val="561932160"/>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561923968"/>
        <c:crosses val="autoZero"/>
        <c:crossBetween val="between"/>
        <c:majorUnit val="0.1"/>
      </c:valAx>
    </c:plotArea>
    <c:legend>
      <c:legendPos val="r"/>
      <c:layout>
        <c:manualLayout>
          <c:xMode val="edge"/>
          <c:yMode val="edge"/>
          <c:x val="0.44298133565159881"/>
          <c:y val="9.4138188766423228E-2"/>
          <c:w val="0.55363193446277659"/>
          <c:h val="8.7682351560424907E-2"/>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17</xdr:col>
      <xdr:colOff>33866</xdr:colOff>
      <xdr:row>4</xdr:row>
      <xdr:rowOff>53974</xdr:rowOff>
    </xdr:from>
    <xdr:to>
      <xdr:col>23</xdr:col>
      <xdr:colOff>414666</xdr:colOff>
      <xdr:row>18</xdr:row>
      <xdr:rowOff>139474</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44450</xdr:colOff>
      <xdr:row>64</xdr:row>
      <xdr:rowOff>174624</xdr:rowOff>
    </xdr:from>
    <xdr:to>
      <xdr:col>23</xdr:col>
      <xdr:colOff>398012</xdr:colOff>
      <xdr:row>79</xdr:row>
      <xdr:rowOff>31522</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63</xdr:row>
      <xdr:rowOff>190500</xdr:rowOff>
    </xdr:from>
    <xdr:to>
      <xdr:col>29</xdr:col>
      <xdr:colOff>9525</xdr:colOff>
      <xdr:row>63</xdr:row>
      <xdr:rowOff>190500</xdr:rowOff>
    </xdr:to>
    <xdr:cxnSp macro="">
      <xdr:nvCxnSpPr>
        <xdr:cNvPr id="5" name="Straight Connector 4">
          <a:extLst>
            <a:ext uri="{FF2B5EF4-FFF2-40B4-BE49-F238E27FC236}">
              <a16:creationId xmlns:a16="http://schemas.microsoft.com/office/drawing/2014/main" id="{00000000-0008-0000-0000-000005000000}"/>
            </a:ext>
          </a:extLst>
        </xdr:cNvPr>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80</xdr:row>
      <xdr:rowOff>190500</xdr:rowOff>
    </xdr:from>
    <xdr:to>
      <xdr:col>29</xdr:col>
      <xdr:colOff>9525</xdr:colOff>
      <xdr:row>80</xdr:row>
      <xdr:rowOff>190500</xdr:rowOff>
    </xdr:to>
    <xdr:cxnSp macro="">
      <xdr:nvCxnSpPr>
        <xdr:cNvPr id="6" name="Straight Connector 5">
          <a:extLst>
            <a:ext uri="{FF2B5EF4-FFF2-40B4-BE49-F238E27FC236}">
              <a16:creationId xmlns:a16="http://schemas.microsoft.com/office/drawing/2014/main" id="{00000000-0008-0000-0000-000006000000}"/>
            </a:ext>
          </a:extLst>
        </xdr:cNvPr>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104775</xdr:colOff>
      <xdr:row>80</xdr:row>
      <xdr:rowOff>352425</xdr:rowOff>
    </xdr:from>
    <xdr:to>
      <xdr:col>24</xdr:col>
      <xdr:colOff>95250</xdr:colOff>
      <xdr:row>91</xdr:row>
      <xdr:rowOff>180975</xdr:rowOff>
    </xdr:to>
    <xdr:graphicFrame macro="">
      <xdr:nvGraphicFramePr>
        <xdr:cNvPr id="8" name="Chart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113242</xdr:colOff>
      <xdr:row>104</xdr:row>
      <xdr:rowOff>10584</xdr:rowOff>
    </xdr:from>
    <xdr:to>
      <xdr:col>25</xdr:col>
      <xdr:colOff>84667</xdr:colOff>
      <xdr:row>115</xdr:row>
      <xdr:rowOff>186269</xdr:rowOff>
    </xdr:to>
    <xdr:graphicFrame macro="">
      <xdr:nvGraphicFramePr>
        <xdr:cNvPr id="10" name="Chart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115</xdr:row>
      <xdr:rowOff>190500</xdr:rowOff>
    </xdr:from>
    <xdr:to>
      <xdr:col>29</xdr:col>
      <xdr:colOff>9525</xdr:colOff>
      <xdr:row>115</xdr:row>
      <xdr:rowOff>190500</xdr:rowOff>
    </xdr:to>
    <xdr:cxnSp macro="">
      <xdr:nvCxnSpPr>
        <xdr:cNvPr id="7" name="Straight Connector 6">
          <a:extLst>
            <a:ext uri="{FF2B5EF4-FFF2-40B4-BE49-F238E27FC236}">
              <a16:creationId xmlns:a16="http://schemas.microsoft.com/office/drawing/2014/main" id="{00000000-0008-0000-0000-000007000000}"/>
            </a:ext>
          </a:extLst>
        </xdr:cNvPr>
        <xdr:cNvCxnSpPr/>
      </xdr:nvCxnSpPr>
      <xdr:spPr>
        <a:xfrm>
          <a:off x="123825" y="4953000"/>
          <a:ext cx="13954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133350</xdr:colOff>
      <xdr:row>116</xdr:row>
      <xdr:rowOff>180975</xdr:rowOff>
    </xdr:from>
    <xdr:to>
      <xdr:col>23</xdr:col>
      <xdr:colOff>494850</xdr:colOff>
      <xdr:row>130</xdr:row>
      <xdr:rowOff>171225</xdr:rowOff>
    </xdr:to>
    <xdr:graphicFrame macro="">
      <xdr:nvGraphicFramePr>
        <xdr:cNvPr id="11" name="Chart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28575</xdr:colOff>
      <xdr:row>133</xdr:row>
      <xdr:rowOff>0</xdr:rowOff>
    </xdr:from>
    <xdr:to>
      <xdr:col>23</xdr:col>
      <xdr:colOff>580575</xdr:colOff>
      <xdr:row>146</xdr:row>
      <xdr:rowOff>180750</xdr:rowOff>
    </xdr:to>
    <xdr:graphicFrame macro="">
      <xdr:nvGraphicFramePr>
        <xdr:cNvPr id="12" name="Chart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147</xdr:row>
      <xdr:rowOff>190500</xdr:rowOff>
    </xdr:from>
    <xdr:to>
      <xdr:col>29</xdr:col>
      <xdr:colOff>9525</xdr:colOff>
      <xdr:row>147</xdr:row>
      <xdr:rowOff>190500</xdr:rowOff>
    </xdr:to>
    <xdr:cxnSp macro="">
      <xdr:nvCxnSpPr>
        <xdr:cNvPr id="13" name="Straight Connector 12">
          <a:extLst>
            <a:ext uri="{FF2B5EF4-FFF2-40B4-BE49-F238E27FC236}">
              <a16:creationId xmlns:a16="http://schemas.microsoft.com/office/drawing/2014/main" id="{00000000-0008-0000-0000-00000D000000}"/>
            </a:ext>
          </a:extLst>
        </xdr:cNvPr>
        <xdr:cNvCxnSpPr/>
      </xdr:nvCxnSpPr>
      <xdr:spPr>
        <a:xfrm>
          <a:off x="123825" y="77152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22226</xdr:colOff>
      <xdr:row>177</xdr:row>
      <xdr:rowOff>23813</xdr:rowOff>
    </xdr:from>
    <xdr:to>
      <xdr:col>25</xdr:col>
      <xdr:colOff>23814</xdr:colOff>
      <xdr:row>192</xdr:row>
      <xdr:rowOff>175988</xdr:rowOff>
    </xdr:to>
    <xdr:graphicFrame macro="">
      <xdr:nvGraphicFramePr>
        <xdr:cNvPr id="14" name="Chart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9525</xdr:colOff>
      <xdr:row>199</xdr:row>
      <xdr:rowOff>190500</xdr:rowOff>
    </xdr:from>
    <xdr:to>
      <xdr:col>29</xdr:col>
      <xdr:colOff>9525</xdr:colOff>
      <xdr:row>199</xdr:row>
      <xdr:rowOff>190500</xdr:rowOff>
    </xdr:to>
    <xdr:cxnSp macro="">
      <xdr:nvCxnSpPr>
        <xdr:cNvPr id="15" name="Straight Connector 14">
          <a:extLst>
            <a:ext uri="{FF2B5EF4-FFF2-40B4-BE49-F238E27FC236}">
              <a16:creationId xmlns:a16="http://schemas.microsoft.com/office/drawing/2014/main" id="{00000000-0008-0000-0000-00000F000000}"/>
            </a:ext>
          </a:extLst>
        </xdr:cNvPr>
        <xdr:cNvCxnSpPr/>
      </xdr:nvCxnSpPr>
      <xdr:spPr>
        <a:xfrm>
          <a:off x="123825" y="121920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223</xdr:row>
      <xdr:rowOff>190500</xdr:rowOff>
    </xdr:from>
    <xdr:to>
      <xdr:col>29</xdr:col>
      <xdr:colOff>9525</xdr:colOff>
      <xdr:row>223</xdr:row>
      <xdr:rowOff>190500</xdr:rowOff>
    </xdr:to>
    <xdr:cxnSp macro="">
      <xdr:nvCxnSpPr>
        <xdr:cNvPr id="16" name="Straight Connector 15">
          <a:extLst>
            <a:ext uri="{FF2B5EF4-FFF2-40B4-BE49-F238E27FC236}">
              <a16:creationId xmlns:a16="http://schemas.microsoft.com/office/drawing/2014/main" id="{00000000-0008-0000-0000-000010000000}"/>
            </a:ext>
          </a:extLst>
        </xdr:cNvPr>
        <xdr:cNvCxnSpPr/>
      </xdr:nvCxnSpPr>
      <xdr:spPr>
        <a:xfrm>
          <a:off x="123825" y="155257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247</xdr:row>
      <xdr:rowOff>190500</xdr:rowOff>
    </xdr:from>
    <xdr:to>
      <xdr:col>29</xdr:col>
      <xdr:colOff>9525</xdr:colOff>
      <xdr:row>247</xdr:row>
      <xdr:rowOff>190500</xdr:rowOff>
    </xdr:to>
    <xdr:cxnSp macro="">
      <xdr:nvCxnSpPr>
        <xdr:cNvPr id="17" name="Straight Connector 16">
          <a:extLst>
            <a:ext uri="{FF2B5EF4-FFF2-40B4-BE49-F238E27FC236}">
              <a16:creationId xmlns:a16="http://schemas.microsoft.com/office/drawing/2014/main" id="{00000000-0008-0000-0000-000011000000}"/>
            </a:ext>
          </a:extLst>
        </xdr:cNvPr>
        <xdr:cNvCxnSpPr/>
      </xdr:nvCxnSpPr>
      <xdr:spPr>
        <a:xfrm>
          <a:off x="123825" y="188595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28575</xdr:colOff>
      <xdr:row>199</xdr:row>
      <xdr:rowOff>295275</xdr:rowOff>
    </xdr:from>
    <xdr:to>
      <xdr:col>23</xdr:col>
      <xdr:colOff>580575</xdr:colOff>
      <xdr:row>212</xdr:row>
      <xdr:rowOff>190275</xdr:rowOff>
    </xdr:to>
    <xdr:graphicFrame macro="">
      <xdr:nvGraphicFramePr>
        <xdr:cNvPr id="18" name="Chart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183446</xdr:colOff>
      <xdr:row>223</xdr:row>
      <xdr:rowOff>352425</xdr:rowOff>
    </xdr:from>
    <xdr:to>
      <xdr:col>23</xdr:col>
      <xdr:colOff>552001</xdr:colOff>
      <xdr:row>237</xdr:row>
      <xdr:rowOff>169333</xdr:rowOff>
    </xdr:to>
    <xdr:graphicFrame macro="">
      <xdr:nvGraphicFramePr>
        <xdr:cNvPr id="19" name="Chart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142875</xdr:colOff>
      <xdr:row>247</xdr:row>
      <xdr:rowOff>333375</xdr:rowOff>
    </xdr:from>
    <xdr:to>
      <xdr:col>23</xdr:col>
      <xdr:colOff>561975</xdr:colOff>
      <xdr:row>260</xdr:row>
      <xdr:rowOff>142875</xdr:rowOff>
    </xdr:to>
    <xdr:graphicFrame macro="">
      <xdr:nvGraphicFramePr>
        <xdr:cNvPr id="20" name="Chart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28575</xdr:colOff>
      <xdr:row>273</xdr:row>
      <xdr:rowOff>114300</xdr:rowOff>
    </xdr:from>
    <xdr:to>
      <xdr:col>23</xdr:col>
      <xdr:colOff>571500</xdr:colOff>
      <xdr:row>286</xdr:row>
      <xdr:rowOff>9524</xdr:rowOff>
    </xdr:to>
    <xdr:graphicFrame macro="">
      <xdr:nvGraphicFramePr>
        <xdr:cNvPr id="21" name="Chart 20">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9525</xdr:colOff>
      <xdr:row>19</xdr:row>
      <xdr:rowOff>190500</xdr:rowOff>
    </xdr:from>
    <xdr:to>
      <xdr:col>29</xdr:col>
      <xdr:colOff>9525</xdr:colOff>
      <xdr:row>19</xdr:row>
      <xdr:rowOff>190500</xdr:rowOff>
    </xdr:to>
    <xdr:cxnSp macro="">
      <xdr:nvCxnSpPr>
        <xdr:cNvPr id="24" name="Straight Connector 23">
          <a:extLst>
            <a:ext uri="{FF2B5EF4-FFF2-40B4-BE49-F238E27FC236}">
              <a16:creationId xmlns:a16="http://schemas.microsoft.com/office/drawing/2014/main" id="{00000000-0008-0000-0000-000018000000}"/>
            </a:ext>
          </a:extLst>
        </xdr:cNvPr>
        <xdr:cNvCxnSpPr/>
      </xdr:nvCxnSpPr>
      <xdr:spPr>
        <a:xfrm>
          <a:off x="123825" y="6400800"/>
          <a:ext cx="157924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442912</xdr:colOff>
      <xdr:row>48</xdr:row>
      <xdr:rowOff>106363</xdr:rowOff>
    </xdr:from>
    <xdr:to>
      <xdr:col>23</xdr:col>
      <xdr:colOff>325438</xdr:colOff>
      <xdr:row>62</xdr:row>
      <xdr:rowOff>134937</xdr:rowOff>
    </xdr:to>
    <xdr:graphicFrame macro="">
      <xdr:nvGraphicFramePr>
        <xdr:cNvPr id="29" name="Chart 28">
          <a:extLst>
            <a:ext uri="{FF2B5EF4-FFF2-40B4-BE49-F238E27FC236}">
              <a16:creationId xmlns:a16="http://schemas.microsoft.com/office/drawing/2014/main" id="{00000000-0008-0000-0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68793</xdr:colOff>
      <xdr:row>93</xdr:row>
      <xdr:rowOff>21165</xdr:rowOff>
    </xdr:from>
    <xdr:to>
      <xdr:col>25</xdr:col>
      <xdr:colOff>2</xdr:colOff>
      <xdr:row>104</xdr:row>
      <xdr:rowOff>186266</xdr:rowOff>
    </xdr:to>
    <xdr:graphicFrame macro="">
      <xdr:nvGraphicFramePr>
        <xdr:cNvPr id="25" name="Chart 24">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21167</xdr:colOff>
      <xdr:row>261</xdr:row>
      <xdr:rowOff>74083</xdr:rowOff>
    </xdr:from>
    <xdr:to>
      <xdr:col>23</xdr:col>
      <xdr:colOff>426509</xdr:colOff>
      <xdr:row>272</xdr:row>
      <xdr:rowOff>170391</xdr:rowOff>
    </xdr:to>
    <xdr:graphicFrame macro="">
      <xdr:nvGraphicFramePr>
        <xdr:cNvPr id="26" name="Chart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0</xdr:colOff>
      <xdr:row>149</xdr:row>
      <xdr:rowOff>0</xdr:rowOff>
    </xdr:from>
    <xdr:to>
      <xdr:col>23</xdr:col>
      <xdr:colOff>552000</xdr:colOff>
      <xdr:row>161</xdr:row>
      <xdr:rowOff>164875</xdr:rowOff>
    </xdr:to>
    <xdr:graphicFrame macro="">
      <xdr:nvGraphicFramePr>
        <xdr:cNvPr id="27" name="Chart 26">
          <a:extLst>
            <a:ext uri="{FF2B5EF4-FFF2-40B4-BE49-F238E27FC236}">
              <a16:creationId xmlns:a16="http://schemas.microsoft.com/office/drawing/2014/main" id="{51C63E48-264F-4D8C-AA37-578B247CB6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18</xdr:col>
      <xdr:colOff>0</xdr:colOff>
      <xdr:row>163</xdr:row>
      <xdr:rowOff>0</xdr:rowOff>
    </xdr:from>
    <xdr:to>
      <xdr:col>23</xdr:col>
      <xdr:colOff>552000</xdr:colOff>
      <xdr:row>175</xdr:row>
      <xdr:rowOff>117250</xdr:rowOff>
    </xdr:to>
    <xdr:graphicFrame macro="">
      <xdr:nvGraphicFramePr>
        <xdr:cNvPr id="28" name="Chart 27">
          <a:extLst>
            <a:ext uri="{FF2B5EF4-FFF2-40B4-BE49-F238E27FC236}">
              <a16:creationId xmlns:a16="http://schemas.microsoft.com/office/drawing/2014/main" id="{1F9804F6-06A3-4B1A-950E-F8CC4184A9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0.11378</cdr:x>
      <cdr:y>0.03175</cdr:y>
    </cdr:from>
    <cdr:to>
      <cdr:x>0.41805</cdr:x>
      <cdr:y>0.16404</cdr:y>
    </cdr:to>
    <cdr:sp macro="" textlink="">
      <cdr:nvSpPr>
        <cdr:cNvPr id="2" name="TextBox 1"/>
        <cdr:cNvSpPr txBox="1"/>
      </cdr:nvSpPr>
      <cdr:spPr>
        <a:xfrm xmlns:a="http://schemas.openxmlformats.org/drawingml/2006/main">
          <a:off x="409590" y="57153"/>
          <a:ext cx="1095372" cy="2381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 delays &gt;30 mins</a:t>
          </a:r>
        </a:p>
      </cdr:txBody>
    </cdr:sp>
  </cdr:relSizeAnchor>
</c:userShapes>
</file>

<file path=xl/drawings/drawing11.xml><?xml version="1.0" encoding="utf-8"?>
<c:userShapes xmlns:c="http://schemas.openxmlformats.org/drawingml/2006/chart">
  <cdr:relSizeAnchor xmlns:cdr="http://schemas.openxmlformats.org/drawingml/2006/chartDrawing">
    <cdr:from>
      <cdr:x>0.10628</cdr:x>
      <cdr:y>0</cdr:y>
    </cdr:from>
    <cdr:to>
      <cdr:x>0.49169</cdr:x>
      <cdr:y>0.1276</cdr:y>
    </cdr:to>
    <cdr:sp macro="" textlink="">
      <cdr:nvSpPr>
        <cdr:cNvPr id="2" name="TextBox 1"/>
        <cdr:cNvSpPr txBox="1"/>
      </cdr:nvSpPr>
      <cdr:spPr>
        <a:xfrm xmlns:a="http://schemas.openxmlformats.org/drawingml/2006/main">
          <a:off x="396938" y="0"/>
          <a:ext cx="1439482" cy="2924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t>Beds</a:t>
          </a:r>
          <a:r>
            <a:rPr lang="en-GB" sz="800" b="1" baseline="0"/>
            <a:t> open</a:t>
          </a:r>
        </a:p>
      </cdr:txBody>
    </cdr:sp>
  </cdr:relSizeAnchor>
</c:userShapes>
</file>

<file path=xl/drawings/drawing12.xml><?xml version="1.0" encoding="utf-8"?>
<c:userShapes xmlns:c="http://schemas.openxmlformats.org/drawingml/2006/chart">
  <cdr:relSizeAnchor xmlns:cdr="http://schemas.openxmlformats.org/drawingml/2006/chartDrawing">
    <cdr:from>
      <cdr:x>0.10628</cdr:x>
      <cdr:y>0</cdr:y>
    </cdr:from>
    <cdr:to>
      <cdr:x>0.49169</cdr:x>
      <cdr:y>0.1276</cdr:y>
    </cdr:to>
    <cdr:sp macro="" textlink="">
      <cdr:nvSpPr>
        <cdr:cNvPr id="2" name="TextBox 1"/>
        <cdr:cNvSpPr txBox="1"/>
      </cdr:nvSpPr>
      <cdr:spPr>
        <a:xfrm xmlns:a="http://schemas.openxmlformats.org/drawingml/2006/main">
          <a:off x="396938" y="0"/>
          <a:ext cx="1439482" cy="2924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t>Beds</a:t>
          </a:r>
          <a:r>
            <a:rPr lang="en-GB" sz="800" b="1" baseline="0"/>
            <a:t> occupied</a:t>
          </a: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4" name="Rectangle 3">
          <a:extLst>
            <a:ext uri="{FF2B5EF4-FFF2-40B4-BE49-F238E27FC236}">
              <a16:creationId xmlns:a16="http://schemas.microsoft.com/office/drawing/2014/main" id="{00000000-0008-0000-0400-000004000000}"/>
            </a:ext>
          </a:extLst>
        </xdr:cNvPr>
        <xdr:cNvSpPr/>
      </xdr:nvSpPr>
      <xdr:spPr>
        <a:xfrm>
          <a:off x="0" y="0"/>
          <a:ext cx="0" cy="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1</xdr:col>
      <xdr:colOff>285750</xdr:colOff>
      <xdr:row>4</xdr:row>
      <xdr:rowOff>47625</xdr:rowOff>
    </xdr:from>
    <xdr:to>
      <xdr:col>9</xdr:col>
      <xdr:colOff>285750</xdr:colOff>
      <xdr:row>18</xdr:row>
      <xdr:rowOff>85725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0.10583</cdr:x>
      <cdr:y>0</cdr:y>
    </cdr:from>
    <cdr:to>
      <cdr:x>0.30163</cdr:x>
      <cdr:y>0.18548</cdr:y>
    </cdr:to>
    <cdr:sp macro="" textlink="">
      <cdr:nvSpPr>
        <cdr:cNvPr id="2" name="TextBox 1"/>
        <cdr:cNvSpPr txBox="1"/>
      </cdr:nvSpPr>
      <cdr:spPr>
        <a:xfrm xmlns:a="http://schemas.openxmlformats.org/drawingml/2006/main">
          <a:off x="381001" y="0"/>
          <a:ext cx="7048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latin typeface="+mn-lt"/>
            </a:rPr>
            <a:t>Over 7 days</a:t>
          </a:r>
        </a:p>
      </cdr:txBody>
    </cdr:sp>
  </cdr:relSizeAnchor>
</c:userShapes>
</file>

<file path=xl/drawings/drawing3.xml><?xml version="1.0" encoding="utf-8"?>
<c:userShapes xmlns:c="http://schemas.openxmlformats.org/drawingml/2006/chart">
  <cdr:relSizeAnchor xmlns:cdr="http://schemas.openxmlformats.org/drawingml/2006/chartDrawing">
    <cdr:from>
      <cdr:x>0.11113</cdr:x>
      <cdr:y>0.07612</cdr:y>
    </cdr:from>
    <cdr:to>
      <cdr:x>0.32808</cdr:x>
      <cdr:y>0.21035</cdr:y>
    </cdr:to>
    <cdr:sp macro="" textlink="">
      <cdr:nvSpPr>
        <cdr:cNvPr id="2" name="TextBox 1"/>
        <cdr:cNvSpPr txBox="1"/>
      </cdr:nvSpPr>
      <cdr:spPr>
        <a:xfrm xmlns:a="http://schemas.openxmlformats.org/drawingml/2006/main">
          <a:off x="444928" y="143882"/>
          <a:ext cx="868598" cy="253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Over 21 days</a:t>
          </a:r>
        </a:p>
      </cdr:txBody>
    </cdr:sp>
  </cdr:relSizeAnchor>
</c:userShapes>
</file>

<file path=xl/drawings/drawing4.xml><?xml version="1.0" encoding="utf-8"?>
<c:userShapes xmlns:c="http://schemas.openxmlformats.org/drawingml/2006/chart">
  <cdr:relSizeAnchor xmlns:cdr="http://schemas.openxmlformats.org/drawingml/2006/chartDrawing">
    <cdr:from>
      <cdr:x>0.10142</cdr:x>
      <cdr:y>0.02552</cdr:y>
    </cdr:from>
    <cdr:to>
      <cdr:x>0.36662</cdr:x>
      <cdr:y>0.15206</cdr:y>
    </cdr:to>
    <cdr:sp macro="" textlink="">
      <cdr:nvSpPr>
        <cdr:cNvPr id="2" name="TextBox 1"/>
        <cdr:cNvSpPr txBox="1"/>
      </cdr:nvSpPr>
      <cdr:spPr>
        <a:xfrm xmlns:a="http://schemas.openxmlformats.org/drawingml/2006/main">
          <a:off x="365125" y="50800"/>
          <a:ext cx="954699" cy="251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t>Beds</a:t>
          </a:r>
          <a:r>
            <a:rPr lang="en-GB" sz="800" b="1" baseline="0"/>
            <a:t> closed</a:t>
          </a:r>
          <a:endParaRPr lang="en-GB" sz="800" b="1"/>
        </a:p>
      </cdr:txBody>
    </cdr:sp>
  </cdr:relSizeAnchor>
</c:userShapes>
</file>

<file path=xl/drawings/drawing5.xml><?xml version="1.0" encoding="utf-8"?>
<c:userShapes xmlns:c="http://schemas.openxmlformats.org/drawingml/2006/chart">
  <cdr:relSizeAnchor xmlns:cdr="http://schemas.openxmlformats.org/drawingml/2006/chartDrawing">
    <cdr:from>
      <cdr:x>0.10628</cdr:x>
      <cdr:y>0</cdr:y>
    </cdr:from>
    <cdr:to>
      <cdr:x>0.49169</cdr:x>
      <cdr:y>0.1276</cdr:y>
    </cdr:to>
    <cdr:sp macro="" textlink="">
      <cdr:nvSpPr>
        <cdr:cNvPr id="2" name="TextBox 1"/>
        <cdr:cNvSpPr txBox="1"/>
      </cdr:nvSpPr>
      <cdr:spPr>
        <a:xfrm xmlns:a="http://schemas.openxmlformats.org/drawingml/2006/main">
          <a:off x="396938" y="0"/>
          <a:ext cx="1439482" cy="2924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t>Beds</a:t>
          </a:r>
          <a:r>
            <a:rPr lang="en-GB" sz="800" b="1" baseline="0"/>
            <a:t> closed unoccupied</a:t>
          </a:r>
          <a:endParaRPr lang="en-GB" sz="800" b="1"/>
        </a:p>
      </cdr:txBody>
    </cdr:sp>
  </cdr:relSizeAnchor>
</c:userShapes>
</file>

<file path=xl/drawings/drawing6.xml><?xml version="1.0" encoding="utf-8"?>
<c:userShapes xmlns:c="http://schemas.openxmlformats.org/drawingml/2006/chart">
  <cdr:relSizeAnchor xmlns:cdr="http://schemas.openxmlformats.org/drawingml/2006/chartDrawing">
    <cdr:from>
      <cdr:x>0.13577</cdr:x>
      <cdr:y>0.00048</cdr:y>
    </cdr:from>
    <cdr:to>
      <cdr:x>0.41623</cdr:x>
      <cdr:y>0.1116</cdr:y>
    </cdr:to>
    <cdr:sp macro="" textlink="">
      <cdr:nvSpPr>
        <cdr:cNvPr id="2" name="TextBox 1"/>
        <cdr:cNvSpPr txBox="1"/>
      </cdr:nvSpPr>
      <cdr:spPr>
        <a:xfrm xmlns:a="http://schemas.openxmlformats.org/drawingml/2006/main">
          <a:off x="515985" y="1106"/>
          <a:ext cx="1065881" cy="2557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Ambulance arrivals</a:t>
          </a:r>
        </a:p>
      </cdr:txBody>
    </cdr:sp>
  </cdr:relSizeAnchor>
</c:userShapes>
</file>

<file path=xl/drawings/drawing7.xml><?xml version="1.0" encoding="utf-8"?>
<c:userShapes xmlns:c="http://schemas.openxmlformats.org/drawingml/2006/chart">
  <cdr:relSizeAnchor xmlns:cdr="http://schemas.openxmlformats.org/drawingml/2006/chartDrawing">
    <cdr:from>
      <cdr:x>0.11378</cdr:x>
      <cdr:y>0.03175</cdr:y>
    </cdr:from>
    <cdr:to>
      <cdr:x>0.41805</cdr:x>
      <cdr:y>0.16404</cdr:y>
    </cdr:to>
    <cdr:sp macro="" textlink="">
      <cdr:nvSpPr>
        <cdr:cNvPr id="2" name="TextBox 1"/>
        <cdr:cNvSpPr txBox="1"/>
      </cdr:nvSpPr>
      <cdr:spPr>
        <a:xfrm xmlns:a="http://schemas.openxmlformats.org/drawingml/2006/main">
          <a:off x="409590" y="57153"/>
          <a:ext cx="1095372" cy="2381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 delays &gt;60 mins</a:t>
          </a:r>
        </a:p>
      </cdr:txBody>
    </cdr:sp>
  </cdr:relSizeAnchor>
</c:userShapes>
</file>

<file path=xl/drawings/drawing8.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Total beds</a:t>
          </a:r>
        </a:p>
      </cdr:txBody>
    </cdr:sp>
  </cdr:relSizeAnchor>
</c:userShapes>
</file>

<file path=xl/drawings/drawing9.xml><?xml version="1.0" encoding="utf-8"?>
<c:userShapes xmlns:c="http://schemas.openxmlformats.org/drawingml/2006/chart">
  <cdr:relSizeAnchor xmlns:cdr="http://schemas.openxmlformats.org/drawingml/2006/chartDrawing">
    <cdr:from>
      <cdr:x>0.11113</cdr:x>
      <cdr:y>0.02013</cdr:y>
    </cdr:from>
    <cdr:to>
      <cdr:x>0.32808</cdr:x>
      <cdr:y>0.15436</cdr:y>
    </cdr:to>
    <cdr:sp macro="" textlink="">
      <cdr:nvSpPr>
        <cdr:cNvPr id="2" name="TextBox 1"/>
        <cdr:cNvSpPr txBox="1"/>
      </cdr:nvSpPr>
      <cdr:spPr>
        <a:xfrm xmlns:a="http://schemas.openxmlformats.org/drawingml/2006/main">
          <a:off x="400051" y="28576"/>
          <a:ext cx="7810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Over 14</a:t>
          </a:r>
          <a:r>
            <a:rPr lang="en-GB" sz="800" b="1" baseline="0"/>
            <a:t> days</a:t>
          </a:r>
          <a:endParaRPr lang="en-GB" sz="800" b="1"/>
        </a:p>
      </cdr:txBody>
    </cdr:sp>
  </cdr:relSizeAnchor>
</c:userShape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367129629" createdVersion="4" refreshedVersion="6" minRefreshableVersion="3" recordCount="0" supportSubquery="1" supportAdvancedDrill="1" xr:uid="{00000000-000A-0000-FFFF-FFFF17010000}">
  <cacheSource type="external" connectionId="4"/>
  <cacheFields count="4">
    <cacheField name="[Winter daily sitreps].[Year].[Year]" caption="Year" numFmtId="0" hierarchy="62" level="1">
      <sharedItems containsSemiMixedTypes="0" containsString="0"/>
    </cacheField>
    <cacheField name="[Measures].[Sum of GA total beds avail]" caption="Sum of GA total beds avail" numFmtId="0" hierarchy="72" level="32767"/>
    <cacheField name="[Measures].[Sum of GA total beds occupied]" caption="Sum of GA total beds occupied" numFmtId="0" hierarchy="91" level="32767"/>
    <cacheField name="[Winter daily sitreps].[Week].[Week]" caption="Week" numFmtId="0" hierarchy="37" level="1">
      <sharedItems containsSemiMixedTypes="0" containsString="0" containsNumber="1" containsInteger="1" minValue="1" maxValue="13" count="13">
        <n v="1"/>
        <n v="2"/>
        <n v="3"/>
        <n v="4"/>
        <n v="5"/>
        <n v="6"/>
        <n v="7"/>
        <n v="8"/>
        <n v="9"/>
        <n v="10"/>
        <n v="11"/>
        <n v="12"/>
        <n v="13"/>
      </sharedItems>
    </cacheField>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2" memberValueDatatype="5" unbalanced="0">
      <fieldsUsage count="2">
        <fieldUsage x="-1"/>
        <fieldUsage x="3"/>
      </fieldsUsage>
    </cacheHierarchy>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oneField="1">
      <fieldsUsage count="1">
        <fieldUsage x="1"/>
      </fieldsUsage>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38391204" createdVersion="4" refreshedVersion="6" minRefreshableVersion="3" recordCount="0" supportSubquery="1" supportAdvancedDrill="1" xr:uid="{00000000-000A-0000-FFFF-FFFF13010000}">
  <cacheSource type="external" connectionId="4"/>
  <cacheFields count="3">
    <cacheField name="[Measures].[Sum of AE diverts]" caption="Sum of AE diverts" numFmtId="0" hierarchy="71" level="32767"/>
    <cacheField name="[Winter daily sitreps].[Year].[Year]" caption="Year" numFmtId="0" hierarchy="62" level="1">
      <sharedItems containsSemiMixedTypes="0" containsString="0"/>
    </cacheField>
    <cacheField name="[Winter daily sitreps].[Date].[Date]" caption="Date" numFmtId="0" hierarchy="36" level="1">
      <sharedItems containsSemiMixedTypes="0" containsNonDate="0" containsDate="1" containsString="0" minDate="2020-11-30T00:00:00" maxDate="2021-03-01T00:00:00" count="91">
        <d v="2020-11-30T00:00:00"/>
        <d v="2020-12-01T00:00:00"/>
        <d v="2020-12-02T00:00:00"/>
        <d v="2020-12-03T00:00:00"/>
        <d v="2020-12-04T00:00:00"/>
        <d v="2020-12-05T00:00:00"/>
        <d v="2020-12-06T00:00:00"/>
        <d v="2020-12-07T00:00:00"/>
        <d v="2020-12-08T00:00:00"/>
        <d v="2020-12-09T00:00:00"/>
        <d v="2020-12-10T00:00:00"/>
        <d v="2020-12-11T00:00:00"/>
        <d v="2020-12-12T00:00:00"/>
        <d v="2020-12-13T00:00:00"/>
        <d v="2020-12-14T00:00:00"/>
        <d v="2020-12-15T00:00:00"/>
        <d v="2020-12-16T00:00:00"/>
        <d v="2020-12-17T00:00:00"/>
        <d v="2020-12-18T00:00:00"/>
        <d v="2020-12-19T00:00:00"/>
        <d v="2020-12-20T00:00:00"/>
        <d v="2020-12-21T00:00:00"/>
        <d v="2020-12-22T00:00:00"/>
        <d v="2020-12-23T00:00:00"/>
        <d v="2020-12-24T00:00:00"/>
        <d v="2020-12-25T00:00:00"/>
        <d v="2020-12-26T00:00:00"/>
        <d v="2020-12-27T00:00:00"/>
        <d v="2020-12-28T00:00:00"/>
        <d v="2020-12-29T00:00:00"/>
        <d v="2020-12-30T00:00:00"/>
        <d v="2020-12-31T00:00:00"/>
        <d v="2021-01-01T00:00:00"/>
        <d v="2021-01-02T00:00:00"/>
        <d v="2021-01-03T00:00:00"/>
        <d v="2021-01-04T00:00:00"/>
        <d v="2021-01-05T00:00:00"/>
        <d v="2021-01-06T00:00:00"/>
        <d v="2021-01-07T00:00:00"/>
        <d v="2021-01-08T00:00:00"/>
        <d v="2021-01-09T00:00:00"/>
        <d v="2021-01-10T00:00:00"/>
        <d v="2021-01-11T00:00:00"/>
        <d v="2021-01-12T00:00:00"/>
        <d v="2021-01-13T00:00:00"/>
        <d v="2021-01-14T00:00:00"/>
        <d v="2021-01-15T00:00:00"/>
        <d v="2021-01-16T00:00:00"/>
        <d v="2021-01-17T00:00:00"/>
        <d v="2021-01-18T00:00:00"/>
        <d v="2021-01-19T00:00:00"/>
        <d v="2021-01-20T00:00:00"/>
        <d v="2021-01-21T00:00:00"/>
        <d v="2021-01-22T00:00:00"/>
        <d v="2021-01-23T00:00:00"/>
        <d v="2021-01-24T00:00:00"/>
        <d v="2021-01-25T00:00:00"/>
        <d v="2021-01-26T00:00:00"/>
        <d v="2021-01-27T00:00:00"/>
        <d v="2021-01-28T00:00:00"/>
        <d v="2021-01-29T00:00:00"/>
        <d v="2021-01-30T00:00:00"/>
        <d v="2021-01-31T00:00:00"/>
        <d v="2021-02-01T00:00:00"/>
        <d v="2021-02-02T00:00:00"/>
        <d v="2021-02-03T00:00:00"/>
        <d v="2021-02-04T00:00:00"/>
        <d v="2021-02-05T00:00:00"/>
        <d v="2021-02-06T00:00:00"/>
        <d v="2021-02-07T00:00:00"/>
        <d v="2021-02-08T00:00:00"/>
        <d v="2021-02-09T00:00:00"/>
        <d v="2021-02-10T00:00:00"/>
        <d v="2021-02-11T00:00:00"/>
        <d v="2021-02-12T00:00:00"/>
        <d v="2021-02-13T00:00:00"/>
        <d v="2021-02-14T00:00:00"/>
        <d v="2021-02-15T00:00:00"/>
        <d v="2021-02-16T00:00:00"/>
        <d v="2021-02-17T00:00:00"/>
        <d v="2021-02-18T00:00:00"/>
        <d v="2021-02-19T00:00:00"/>
        <d v="2021-02-20T00:00:00"/>
        <d v="2021-02-21T00:00:00"/>
        <d v="2021-02-22T00:00:00"/>
        <d v="2021-02-23T00:00:00"/>
        <d v="2021-02-24T00:00:00"/>
        <d v="2021-02-25T00:00:00"/>
        <d v="2021-02-26T00:00:00"/>
        <d v="2021-02-27T00:00:00"/>
        <d v="2021-02-28T00:00:00"/>
      </sharedItems>
    </cacheField>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2" memberValueDatatype="7"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1"/>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oneField="1">
      <fieldsUsage count="1">
        <fieldUsage x="0"/>
      </fieldsUsage>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385648148" createdVersion="4" refreshedVersion="6" minRefreshableVersion="3" recordCount="0" supportSubquery="1" supportAdvancedDrill="1" xr:uid="{00000000-000A-0000-FFFF-FFFF21010000}">
  <cacheSource type="external" connectionId="4"/>
  <cacheFields count="4">
    <cacheField name="[Winter daily sitreps].[Year].[Year]" caption="Year" numFmtId="0" hierarchy="62" level="1">
      <sharedItems containsSemiMixedTypes="0" containsString="0"/>
    </cacheField>
    <cacheField name="[Winter daily sitreps].[Week].[Week]" caption="Week" numFmtId="0" hierarchy="37" level="1">
      <sharedItems containsSemiMixedTypes="0" containsString="0" containsNumber="1" containsInteger="1" minValue="1" maxValue="13" count="13">
        <n v="1"/>
        <n v="2"/>
        <n v="3"/>
        <n v="4"/>
        <n v="5"/>
        <n v="6"/>
        <n v="7"/>
        <n v="8"/>
        <n v="9"/>
        <n v="10"/>
        <n v="11"/>
        <n v="12"/>
        <n v="13"/>
      </sharedItems>
    </cacheField>
    <cacheField name="[Measures].[Sum of Paed Int Care Avail]" caption="Sum of Paed Int Care Avail" numFmtId="0" hierarchy="79" level="32767"/>
    <cacheField name="[Measures].[Sum of Paed Int Care Occ]" caption="Sum of Paed Int Care Occ" numFmtId="0" hierarchy="80" level="32767"/>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2" memberValueDatatype="5"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oneField="1">
      <fieldsUsage count="1">
        <fieldUsage x="2"/>
      </fieldsUsage>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oneField="1">
      <fieldsUsage count="1">
        <fieldUsage x="3"/>
      </fieldsUsage>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387268519" createdVersion="4" refreshedVersion="6" minRefreshableVersion="3" recordCount="0" supportSubquery="1" supportAdvancedDrill="1" xr:uid="{00000000-000A-0000-FFFF-FFFF0B010000}">
  <cacheSource type="external" connectionId="4"/>
  <cacheFields count="5">
    <cacheField name="[Winter daily sitreps].[Year].[Year]" caption="Year" numFmtId="0" hierarchy="62" level="1">
      <sharedItems containsSemiMixedTypes="0" containsString="0"/>
    </cacheField>
    <cacheField name="[Winter daily sitreps].[Week long].[Week long]" caption="Week long" numFmtId="0" hierarchy="68" level="1">
      <sharedItems count="13">
        <s v="Week 1"/>
        <s v="Week 10"/>
        <s v="Week 11"/>
        <s v="Week 12"/>
        <s v="Week 13"/>
        <s v="Week 2"/>
        <s v="Week 3"/>
        <s v="Week 4"/>
        <s v="Week 5"/>
        <s v="Week 6"/>
        <s v="Week 7"/>
        <s v="Week 8"/>
        <s v="Week 9"/>
      </sharedItems>
    </cacheField>
    <cacheField name="[Winter daily sitreps].[Region].[Region]" caption="Region" numFmtId="0" hierarchy="61" level="1">
      <sharedItems count="7">
        <s v="East Of England"/>
        <s v="London"/>
        <s v="Midlands"/>
        <s v="North East and Yorkshire"/>
        <s v="North West"/>
        <s v="South East"/>
        <s v="South West"/>
      </sharedItems>
    </cacheField>
    <cacheField name="[Measures].[Sum of Paed Int Care Avail]" caption="Sum of Paed Int Care Avail" numFmtId="0" hierarchy="79" level="32767"/>
    <cacheField name="[Measures].[Sum of Paed Int Care Occ]" caption="Sum of Paed Int Care Occ" numFmtId="0" hierarchy="80" level="32767"/>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2"/>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1"/>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oneField="1">
      <fieldsUsage count="1">
        <fieldUsage x="3"/>
      </fieldsUsage>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oneField="1">
      <fieldsUsage count="1">
        <fieldUsage x="4"/>
      </fieldsUsage>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388888889" createdVersion="4" refreshedVersion="6" minRefreshableVersion="3" recordCount="0" supportSubquery="1" supportAdvancedDrill="1" xr:uid="{00000000-000A-0000-FFFF-FFFF22010000}">
  <cacheSource type="external" connectionId="4"/>
  <cacheFields count="4">
    <cacheField name="[Winter daily sitreps].[Year].[Year]" caption="Year" numFmtId="0" hierarchy="62" level="1">
      <sharedItems containsSemiMixedTypes="0" containsString="0"/>
    </cacheField>
    <cacheField name="[Winter daily sitreps].[Week].[Week]" caption="Week" numFmtId="0" hierarchy="37" level="1">
      <sharedItems containsSemiMixedTypes="0" containsString="0" containsNumber="1" containsInteger="1" minValue="1" maxValue="13" count="13">
        <n v="1"/>
        <n v="2"/>
        <n v="3"/>
        <n v="4"/>
        <n v="5"/>
        <n v="6"/>
        <n v="7"/>
        <n v="8"/>
        <n v="9"/>
        <n v="10"/>
        <n v="11"/>
        <n v="12"/>
        <n v="13"/>
      </sharedItems>
    </cacheField>
    <cacheField name="[Measures].[Sum of Paed Int Care Avail]" caption="Sum of Paed Int Care Avail" numFmtId="0" hierarchy="79" level="32767"/>
    <cacheField name="[Measures].[Sum of Paed Int Care Occ]" caption="Sum of Paed Int Care Occ" numFmtId="0" hierarchy="80" level="32767"/>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2" memberValueDatatype="5"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oneField="1">
      <fieldsUsage count="1">
        <fieldUsage x="2"/>
      </fieldsUsage>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oneField="1">
      <fieldsUsage count="1">
        <fieldUsage x="3"/>
      </fieldsUsage>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390509259" createdVersion="4" refreshedVersion="6" minRefreshableVersion="3" recordCount="0" supportSubquery="1" supportAdvancedDrill="1" xr:uid="{00000000-000A-0000-FFFF-FFFF0C010000}">
  <cacheSource type="external" connectionId="4"/>
  <cacheFields count="5">
    <cacheField name="[Winter daily sitreps].[Year].[Year]" caption="Year" numFmtId="0" hierarchy="62" level="1">
      <sharedItems containsSemiMixedTypes="0" containsString="0"/>
    </cacheField>
    <cacheField name="[Winter daily sitreps].[Week long].[Week long]" caption="Week long" numFmtId="0" hierarchy="68" level="1">
      <sharedItems count="13">
        <s v="Week 1"/>
        <s v="Week 10"/>
        <s v="Week 11"/>
        <s v="Week 12"/>
        <s v="Week 13"/>
        <s v="Week 2"/>
        <s v="Week 3"/>
        <s v="Week 4"/>
        <s v="Week 5"/>
        <s v="Week 6"/>
        <s v="Week 7"/>
        <s v="Week 8"/>
        <s v="Week 9"/>
      </sharedItems>
    </cacheField>
    <cacheField name="[Winter daily sitreps].[Region].[Region]" caption="Region" numFmtId="0" hierarchy="61" level="1">
      <sharedItems count="7">
        <s v="East Of England"/>
        <s v="London"/>
        <s v="Midlands"/>
        <s v="North East and Yorkshire"/>
        <s v="North West"/>
        <s v="South East"/>
        <s v="South West"/>
      </sharedItems>
    </cacheField>
    <cacheField name="[Measures].[Sum of Paed Int Care Avail]" caption="Sum of Paed Int Care Avail" numFmtId="0" hierarchy="79" level="32767"/>
    <cacheField name="[Measures].[Sum of Paed Int Care Occ]" caption="Sum of Paed Int Care Occ" numFmtId="0" hierarchy="80" level="32767"/>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2"/>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1"/>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oneField="1">
      <fieldsUsage count="1">
        <fieldUsage x="3"/>
      </fieldsUsage>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oneField="1">
      <fieldsUsage count="1">
        <fieldUsage x="4"/>
      </fieldsUsage>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39212963" createdVersion="4" refreshedVersion="6" minRefreshableVersion="3" recordCount="0" supportSubquery="1" supportAdvancedDrill="1" xr:uid="{00000000-000A-0000-FFFF-FFFF14010000}">
  <cacheSource type="external" connectionId="4"/>
  <cacheFields count="5">
    <cacheField name="[Winter daily sitreps].[Year].[Year]" caption="Year" numFmtId="0" hierarchy="62" level="1">
      <sharedItems containsSemiMixedTypes="0" containsString="0"/>
    </cacheField>
    <cacheField name="[Winter daily sitreps].[Week].[Week]" caption="Week" numFmtId="0" hierarchy="37" level="1">
      <sharedItems containsSemiMixedTypes="0" containsString="0" containsNumber="1" containsInteger="1" minValue="1" maxValue="13" count="13">
        <n v="1"/>
        <n v="2"/>
        <n v="3"/>
        <n v="4"/>
        <n v="5"/>
        <n v="6"/>
        <n v="7"/>
        <n v="8"/>
        <n v="9"/>
        <n v="10"/>
        <n v="11"/>
        <n v="12"/>
        <n v="13"/>
      </sharedItems>
    </cacheField>
    <cacheField name="[Measures].[Sum of GA core beds avail]" caption="Sum of GA core beds avail" numFmtId="0" hierarchy="84" level="32767"/>
    <cacheField name="[Measures].[Sum of GA escalation beds avail]" caption="Sum of GA escalation beds avail" numFmtId="0" hierarchy="85" level="32767"/>
    <cacheField name="[Measures].[Sum of GA total beds avail]" caption="Sum of GA total beds avail" numFmtId="0" hierarchy="72" level="32767"/>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2" memberValueDatatype="5"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oneField="1">
      <fieldsUsage count="1">
        <fieldUsage x="4"/>
      </fieldsUsage>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oneField="1">
      <fieldsUsage count="1">
        <fieldUsage x="2"/>
      </fieldsUsage>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oneField="1">
      <fieldsUsage count="1">
        <fieldUsage x="3"/>
      </fieldsUsage>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39375" createdVersion="4" refreshedVersion="6" minRefreshableVersion="3" recordCount="0" supportSubquery="1" supportAdvancedDrill="1" xr:uid="{00000000-000A-0000-FFFF-FFFF15010000}">
  <cacheSource type="external" connectionId="4"/>
  <cacheFields count="5">
    <cacheField name="[Winter daily sitreps].[Year].[Year]" caption="Year" numFmtId="0" hierarchy="62" level="1">
      <sharedItems containsSemiMixedTypes="0" containsString="0"/>
    </cacheField>
    <cacheField name="[Measures].[Sum of GA core beds avail]" caption="Sum of GA core beds avail" numFmtId="0" hierarchy="84" level="32767"/>
    <cacheField name="[Measures].[Sum of GA escalation beds avail]" caption="Sum of GA escalation beds avail" numFmtId="0" hierarchy="85" level="32767"/>
    <cacheField name="[Measures].[Sum of GA total beds avail]" caption="Sum of GA total beds avail" numFmtId="0" hierarchy="72" level="32767"/>
    <cacheField name="[Winter daily sitreps].[Date].[Date]" caption="Date" numFmtId="0" hierarchy="36" level="1">
      <sharedItems containsSemiMixedTypes="0" containsNonDate="0" containsDate="1" containsString="0" minDate="2020-11-30T00:00:00" maxDate="2021-03-01T00:00:00" count="91">
        <d v="2020-11-30T00:00:00"/>
        <d v="2020-12-01T00:00:00"/>
        <d v="2020-12-02T00:00:00"/>
        <d v="2020-12-03T00:00:00"/>
        <d v="2020-12-04T00:00:00"/>
        <d v="2020-12-05T00:00:00"/>
        <d v="2020-12-06T00:00:00"/>
        <d v="2020-12-07T00:00:00"/>
        <d v="2020-12-08T00:00:00"/>
        <d v="2020-12-09T00:00:00"/>
        <d v="2020-12-10T00:00:00"/>
        <d v="2020-12-11T00:00:00"/>
        <d v="2020-12-12T00:00:00"/>
        <d v="2020-12-13T00:00:00"/>
        <d v="2020-12-14T00:00:00"/>
        <d v="2020-12-15T00:00:00"/>
        <d v="2020-12-16T00:00:00"/>
        <d v="2020-12-17T00:00:00"/>
        <d v="2020-12-18T00:00:00"/>
        <d v="2020-12-19T00:00:00"/>
        <d v="2020-12-20T00:00:00"/>
        <d v="2020-12-21T00:00:00"/>
        <d v="2020-12-22T00:00:00"/>
        <d v="2020-12-23T00:00:00"/>
        <d v="2020-12-24T00:00:00"/>
        <d v="2020-12-25T00:00:00"/>
        <d v="2020-12-26T00:00:00"/>
        <d v="2020-12-27T00:00:00"/>
        <d v="2020-12-28T00:00:00"/>
        <d v="2020-12-29T00:00:00"/>
        <d v="2020-12-30T00:00:00"/>
        <d v="2020-12-31T00:00:00"/>
        <d v="2021-01-01T00:00:00"/>
        <d v="2021-01-02T00:00:00"/>
        <d v="2021-01-03T00:00:00"/>
        <d v="2021-01-04T00:00:00"/>
        <d v="2021-01-05T00:00:00"/>
        <d v="2021-01-06T00:00:00"/>
        <d v="2021-01-07T00:00:00"/>
        <d v="2021-01-08T00:00:00"/>
        <d v="2021-01-09T00:00:00"/>
        <d v="2021-01-10T00:00:00"/>
        <d v="2021-01-11T00:00:00"/>
        <d v="2021-01-12T00:00:00"/>
        <d v="2021-01-13T00:00:00"/>
        <d v="2021-01-14T00:00:00"/>
        <d v="2021-01-15T00:00:00"/>
        <d v="2021-01-16T00:00:00"/>
        <d v="2021-01-17T00:00:00"/>
        <d v="2021-01-18T00:00:00"/>
        <d v="2021-01-19T00:00:00"/>
        <d v="2021-01-20T00:00:00"/>
        <d v="2021-01-21T00:00:00"/>
        <d v="2021-01-22T00:00:00"/>
        <d v="2021-01-23T00:00:00"/>
        <d v="2021-01-24T00:00:00"/>
        <d v="2021-01-25T00:00:00"/>
        <d v="2021-01-26T00:00:00"/>
        <d v="2021-01-27T00:00:00"/>
        <d v="2021-01-28T00:00:00"/>
        <d v="2021-01-29T00:00:00"/>
        <d v="2021-01-30T00:00:00"/>
        <d v="2021-01-31T00:00:00"/>
        <d v="2021-02-01T00:00:00"/>
        <d v="2021-02-02T00:00:00"/>
        <d v="2021-02-03T00:00:00"/>
        <d v="2021-02-04T00:00:00"/>
        <d v="2021-02-05T00:00:00"/>
        <d v="2021-02-06T00:00:00"/>
        <d v="2021-02-07T00:00:00"/>
        <d v="2021-02-08T00:00:00"/>
        <d v="2021-02-09T00:00:00"/>
        <d v="2021-02-10T00:00:00"/>
        <d v="2021-02-11T00:00:00"/>
        <d v="2021-02-12T00:00:00"/>
        <d v="2021-02-13T00:00:00"/>
        <d v="2021-02-14T00:00:00"/>
        <d v="2021-02-15T00:00:00"/>
        <d v="2021-02-16T00:00:00"/>
        <d v="2021-02-17T00:00:00"/>
        <d v="2021-02-18T00:00:00"/>
        <d v="2021-02-19T00:00:00"/>
        <d v="2021-02-20T00:00:00"/>
        <d v="2021-02-21T00:00:00"/>
        <d v="2021-02-22T00:00:00"/>
        <d v="2021-02-23T00:00:00"/>
        <d v="2021-02-24T00:00:00"/>
        <d v="2021-02-25T00:00:00"/>
        <d v="2021-02-26T00:00:00"/>
        <d v="2021-02-27T00:00:00"/>
        <d v="2021-02-28T00:00:00"/>
      </sharedItems>
    </cacheField>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2" memberValueDatatype="7"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oneField="1">
      <fieldsUsage count="1">
        <fieldUsage x="3"/>
      </fieldsUsage>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oneField="1">
      <fieldsUsage count="1">
        <fieldUsage x="1"/>
      </fieldsUsage>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oneField="1">
      <fieldsUsage count="1">
        <fieldUsage x="2"/>
      </fieldsUsage>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39537037" createdVersion="4" refreshedVersion="6" minRefreshableVersion="3" recordCount="0" supportSubquery="1" supportAdvancedDrill="1" xr:uid="{00000000-000A-0000-FFFF-FFFF03010000}">
  <cacheSource type="external" connectionId="4"/>
  <cacheFields count="6">
    <cacheField name="[Winter daily sitreps].[Year].[Year]" caption="Year" numFmtId="0" hierarchy="62" level="1">
      <sharedItems containsSemiMixedTypes="0" containsString="0"/>
    </cacheField>
    <cacheField name="[Measures].[Sum of GA core beds avail]" caption="Sum of GA core beds avail" numFmtId="0" hierarchy="84" level="32767"/>
    <cacheField name="[Measures].[Sum of GA escalation beds avail]" caption="Sum of GA escalation beds avail" numFmtId="0" hierarchy="85" level="32767"/>
    <cacheField name="[Winter daily sitreps].[Region].[Region]" caption="Region" numFmtId="0" hierarchy="61" level="1">
      <sharedItems count="7">
        <s v="East Of England"/>
        <s v="London"/>
        <s v="Midlands"/>
        <s v="North East and Yorkshire"/>
        <s v="North West"/>
        <s v="South East"/>
        <s v="South West"/>
      </sharedItems>
    </cacheField>
    <cacheField name="[Measures].[Sum of GA total beds avail]" caption="Sum of GA total beds avail" numFmtId="0" hierarchy="72" level="32767"/>
    <cacheField name="[Winter daily sitreps].[Week long].[Week long]" caption="Week long" numFmtId="0" hierarchy="68" level="1">
      <sharedItems count="13">
        <s v="Week 1"/>
        <s v="Week 10"/>
        <s v="Week 11"/>
        <s v="Week 12"/>
        <s v="Week 13"/>
        <s v="Week 2"/>
        <s v="Week 3"/>
        <s v="Week 4"/>
        <s v="Week 5"/>
        <s v="Week 6"/>
        <s v="Week 7"/>
        <s v="Week 8"/>
        <s v="Week 9"/>
      </sharedItems>
    </cacheField>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3"/>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5"/>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oneField="1">
      <fieldsUsage count="1">
        <fieldUsage x="4"/>
      </fieldsUsage>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oneField="1">
      <fieldsUsage count="1">
        <fieldUsage x="1"/>
      </fieldsUsage>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oneField="1">
      <fieldsUsage count="1">
        <fieldUsage x="2"/>
      </fieldsUsage>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397106479" createdVersion="4" refreshedVersion="6" minRefreshableVersion="3" recordCount="0" supportSubquery="1" supportAdvancedDrill="1" xr:uid="{00000000-000A-0000-FFFF-FFFF19010000}">
  <cacheSource type="external" connectionId="4"/>
  <cacheFields count="3">
    <cacheField name="[Winter daily sitreps].[Year].[Year]" caption="Year" numFmtId="0" hierarchy="62" level="1">
      <sharedItems containsSemiMixedTypes="0" containsString="0"/>
    </cacheField>
    <cacheField name="[Winter daily sitreps].[Week].[Week]" caption="Week" numFmtId="0" hierarchy="37" level="1">
      <sharedItems containsSemiMixedTypes="0" containsString="0" containsNumber="1" containsInteger="1" minValue="1" maxValue="13" count="13">
        <n v="1"/>
        <n v="2"/>
        <n v="3"/>
        <n v="4"/>
        <n v="5"/>
        <n v="6"/>
        <n v="7"/>
        <n v="8"/>
        <n v="9"/>
        <n v="10"/>
        <n v="11"/>
        <n v="12"/>
        <n v="13"/>
      </sharedItems>
    </cacheField>
    <cacheField name="[Measures].[Sum of Beds closed norovirus]" caption="Sum of Beds closed norovirus" numFmtId="0" hierarchy="74" level="32767"/>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2" memberValueDatatype="5"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oneField="1">
      <fieldsUsage count="1">
        <fieldUsage x="2"/>
      </fieldsUsage>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398842596" createdVersion="4" refreshedVersion="6" minRefreshableVersion="3" recordCount="0" supportSubquery="1" supportAdvancedDrill="1" xr:uid="{00000000-000A-0000-FFFF-FFFF08010000}">
  <cacheSource type="external" connectionId="4"/>
  <cacheFields count="4">
    <cacheField name="[Winter daily sitreps].[Year].[Year]" caption="Year" numFmtId="0" hierarchy="62" level="1">
      <sharedItems containsSemiMixedTypes="0" containsString="0"/>
    </cacheField>
    <cacheField name="[Measures].[Sum of Beds closed norovirus]" caption="Sum of Beds closed norovirus" numFmtId="0" hierarchy="74" level="32767"/>
    <cacheField name="[Winter daily sitreps].[Week long].[Week long]" caption="Week long" numFmtId="0" hierarchy="68" level="1">
      <sharedItems count="13">
        <s v="Week 1"/>
        <s v="Week 10"/>
        <s v="Week 11"/>
        <s v="Week 12"/>
        <s v="Week 13"/>
        <s v="Week 2"/>
        <s v="Week 3"/>
        <s v="Week 4"/>
        <s v="Week 5"/>
        <s v="Week 6"/>
        <s v="Week 7"/>
        <s v="Week 8"/>
        <s v="Week 9"/>
      </sharedItems>
    </cacheField>
    <cacheField name="[Winter daily sitreps].[Region].[Region]" caption="Region" numFmtId="0" hierarchy="61" level="1">
      <sharedItems count="7">
        <s v="East Of England"/>
        <s v="London"/>
        <s v="Midlands"/>
        <s v="North East and Yorkshire"/>
        <s v="North West"/>
        <s v="South East"/>
        <s v="South West"/>
      </sharedItems>
    </cacheField>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3"/>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2"/>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oneField="1">
      <fieldsUsage count="1">
        <fieldUsage x="1"/>
      </fieldsUsage>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369791669" createdVersion="4" refreshedVersion="6" minRefreshableVersion="3" recordCount="0" supportSubquery="1" supportAdvancedDrill="1" xr:uid="{00000000-000A-0000-FFFF-FFFF04010000}">
  <cacheSource type="external" connectionId="4"/>
  <cacheFields count="5">
    <cacheField name="[Winter daily sitreps].[Year].[Year]" caption="Year" numFmtId="0" hierarchy="62" level="1">
      <sharedItems containsSemiMixedTypes="0" containsString="0"/>
    </cacheField>
    <cacheField name="[Measures].[Sum of GA total beds avail]" caption="Sum of GA total beds avail" numFmtId="0" hierarchy="72" level="32767"/>
    <cacheField name="[Measures].[Sum of GA total beds occupied]" caption="Sum of GA total beds occupied" numFmtId="0" hierarchy="91" level="32767"/>
    <cacheField name="[Winter daily sitreps].[Region].[Region]" caption="Region" numFmtId="0" hierarchy="61" level="1">
      <sharedItems count="7">
        <s v="East Of England"/>
        <s v="London"/>
        <s v="Midlands"/>
        <s v="North East and Yorkshire"/>
        <s v="North West"/>
        <s v="South East"/>
        <s v="South West"/>
      </sharedItems>
    </cacheField>
    <cacheField name="[Winter daily sitreps].[Week long].[Week long]" caption="Week long" numFmtId="0" hierarchy="68" level="1">
      <sharedItems count="13">
        <s v="Week 1"/>
        <s v="Week 10"/>
        <s v="Week 11"/>
        <s v="Week 12"/>
        <s v="Week 13"/>
        <s v="Week 2"/>
        <s v="Week 3"/>
        <s v="Week 4"/>
        <s v="Week 5"/>
        <s v="Week 6"/>
        <s v="Week 7"/>
        <s v="Week 8"/>
        <s v="Week 9"/>
      </sharedItems>
    </cacheField>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3"/>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4"/>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oneField="1">
      <fieldsUsage count="1">
        <fieldUsage x="1"/>
      </fieldsUsage>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400694443" createdVersion="4" refreshedVersion="6" minRefreshableVersion="3" recordCount="0" supportSubquery="1" supportAdvancedDrill="1" xr:uid="{00000000-000A-0000-FFFF-FFFF1A010000}">
  <cacheSource type="external" connectionId="4"/>
  <cacheFields count="4">
    <cacheField name="[Winter daily sitreps].[Year].[Year]" caption="Year" numFmtId="0" hierarchy="62" level="1">
      <sharedItems containsSemiMixedTypes="0" containsString="0"/>
    </cacheField>
    <cacheField name="[Measures].[Sum of Beds closed norovirus]" caption="Sum of Beds closed norovirus" numFmtId="0" hierarchy="74" level="32767"/>
    <cacheField name="[Winter daily sitreps].[Week long].[Week long]" caption="Week long" numFmtId="0" hierarchy="68" level="1">
      <sharedItems count="13">
        <s v="Week 1"/>
        <s v="Week 10"/>
        <s v="Week 11"/>
        <s v="Week 12"/>
        <s v="Week 13"/>
        <s v="Week 2"/>
        <s v="Week 3"/>
        <s v="Week 4"/>
        <s v="Week 5"/>
        <s v="Week 6"/>
        <s v="Week 7"/>
        <s v="Week 8"/>
        <s v="Week 9"/>
      </sharedItems>
    </cacheField>
    <cacheField name="[Winter daily sitreps].[Name].[Name]" caption="Name" numFmtId="0" hierarchy="35" level="1">
      <sharedItems count="127">
        <s v="AIREDALE NHS FOUNDATION TRUST"/>
        <s v="ALDER HEY CHILDREN'S NHS FOUNDATION TRUST"/>
        <s v="ASHFORD AND ST. PETER'S HOSPITALS NHS FOUNDATION TRUST"/>
        <s v="BARKING, HAVERING AND REDBRIDGE UNIVERSITY HOSPITALS NHS TRUST"/>
        <s v="BARNSLEY HOSPITAL NHS FOUNDATION TRUST"/>
        <s v="BARTS HEALTH NHS TRUST"/>
        <s v="Bedfordshire Hospitals NHS Foundation Trust"/>
        <s v="BIRMINGHAM WOMEN'S AND CHILDREN'S NHS FOUNDATION TRUST"/>
        <s v="BLACKPOOL TEACHING HOSPITALS NHS FOUNDATION TRUST"/>
        <s v="BOLTON NHS FOUNDATION TRUST"/>
        <s v="BRADFORD TEACHING HOSPITALS NHS FOUNDATION TRUST"/>
        <s v="BRIGHTON AND SUSSEX UNIVERSITY HOSPITALS NHS TRUST"/>
        <s v="BUCKINGHAMSHIRE HEALTHCARE NHS TRUST"/>
        <s v="CALDERDALE AND HUDDERSFIELD NHS FOUNDATION TRUST"/>
        <s v="CAMBRIDGE UNIVERSITY HOSPITALS NHS FOUNDATION TRUST"/>
        <s v="CHELSEA AND WESTMINSTER HOSPITAL NHS FOUNDATION TRUST"/>
        <s v="CHESTERFIELD ROYAL HOSPITAL NHS FOUNDATION TRUST"/>
        <s v="COUNTESS OF CHESTER HOSPITAL NHS FOUNDATION TRUST"/>
        <s v="COUNTY DURHAM AND DARLINGTON NHS FOUNDATION TRUST"/>
        <s v="CROYDON HEALTH SERVICES NHS TRUST"/>
        <s v="DARTFORD AND GRAVESHAM NHS TRUST"/>
        <s v="DONCASTER AND BASSETLAW TEACHING HOSPITALS NHS FOUNDATION TRUST"/>
        <s v="DORSET COUNTY HOSPITAL NHS FOUNDATION TRUST"/>
        <s v="EAST AND NORTH HERTFORDSHIRE NHS TRUST"/>
        <s v="EAST CHESHIRE NHS TRUST"/>
        <s v="EAST KENT HOSPITALS UNIVERSITY NHS FOUNDATION TRUST"/>
        <s v="EAST LANCASHIRE HOSPITALS NHS TRUST"/>
        <s v="EAST SUFFOLK AND NORTH ESSEX NHS FOUNDATION TRUST"/>
        <s v="EAST SUSSEX HEALTHCARE NHS TRUST"/>
        <s v="EPSOM AND ST HELIER UNIVERSITY HOSPITALS NHS TRUST"/>
        <s v="FRIMLEY HEALTH NHS FOUNDATION TRUST"/>
        <s v="GATESHEAD HEALTH NHS FOUNDATION TRUST"/>
        <s v="GEORGE ELIOT HOSPITAL NHS TRUST"/>
        <s v="GLOUCESTERSHIRE HOSPITALS NHS FOUNDATION TRUST"/>
        <s v="GREAT WESTERN HOSPITALS NHS FOUNDATION TRUST"/>
        <s v="GUY'S AND ST THOMAS' NHS FOUNDATION TRUST"/>
        <s v="HAMPSHIRE HOSPITALS NHS FOUNDATION TRUST"/>
        <s v="HARROGATE AND DISTRICT NHS FOUNDATION TRUST"/>
        <s v="HOMERTON UNIVERSITY HOSPITAL NHS FOUNDATION TRUST"/>
        <s v="HULL UNIVERSITY TEACHING HOSPITALS NHS TRUST"/>
        <s v="IMPERIAL COLLEGE HEALTHCARE NHS TRUST"/>
        <s v="ISLE OF WIGHT NHS TRUST"/>
        <s v="JAMES PAGET UNIVERSITY HOSPITALS NHS FOUNDATION TRUST"/>
        <s v="KETTERING GENERAL HOSPITAL NHS FOUNDATION TRUST"/>
        <s v="KING'S COLLEGE HOSPITAL NHS FOUNDATION TRUST"/>
        <s v="KINGSTON HOSPITAL NHS FOUNDATION TRUST"/>
        <s v="LANCASHIRE TEACHING HOSPITALS NHS FOUNDATION TRUST"/>
        <s v="LEEDS TEACHING HOSPITALS NHS TRUST"/>
        <s v="LEWISHAM AND GREENWICH NHS TRUST"/>
        <s v="LIVERPOOL UNIVERSITY HOSPITALS NHS FOUNDATION TRUST"/>
        <s v="LONDON NORTH WEST UNIVERSITY HEALTHCARE NHS TRUST"/>
        <s v="MAIDSTONE AND TUNBRIDGE WELLS NHS TRUST"/>
        <s v="MANCHESTER UNIVERSITY NHS FOUNDATION TRUST"/>
        <s v="MEDWAY NHS FOUNDATION TRUST"/>
        <s v="MID AND SOUTH ESSEX NHS FOUNDATION TRUST"/>
        <s v="MID CHESHIRE HOSPITALS NHS FOUNDATION TRUST"/>
        <s v="MID YORKSHIRE HOSPITALS NHS TRUST"/>
        <s v="MILTON KEYNES UNIVERSITY HOSPITAL NHS FOUNDATION TRUST"/>
        <s v="NORFOLK AND NORWICH UNIVERSITY HOSPITALS NHS FOUNDATION TRUST"/>
        <s v="NORTH BRISTOL NHS TRUST"/>
        <s v="NORTH CUMBRIA INTEGRATED CARE NHS FOUNDATION TRUST"/>
        <s v="NORTH MIDDLESEX UNIVERSITY HOSPITAL NHS TRUST"/>
        <s v="NORTH TEES AND HARTLEPOOL NHS FOUNDATION TRUST"/>
        <s v="NORTH WEST ANGLIA NHS FOUNDATION TRUST"/>
        <s v="NORTHAMPTON GENERAL HOSPITAL NHS TRUST"/>
        <s v="NORTHERN DEVON HEALTHCARE NHS TRUST"/>
        <s v="NORTHERN LINCOLNSHIRE AND GOOLE NHS FOUNDATION TRUST"/>
        <s v="NORTHUMBRIA HEALTHCARE NHS FOUNDATION TRUST"/>
        <s v="NOTTINGHAM UNIVERSITY HOSPITALS NHS TRUST"/>
        <s v="OXFORD UNIVERSITY HOSPITALS NHS FOUNDATION TRUST"/>
        <s v="PENNINE ACUTE HOSPITALS NHS TRUST"/>
        <s v="PORTSMOUTH HOSPITALS UNIVERSITY NHS TRUST"/>
        <s v="ROYAL BERKSHIRE NHS FOUNDATION TRUST"/>
        <s v="ROYAL CORNWALL HOSPITALS NHS TRUST"/>
        <s v="ROYAL DEVON AND EXETER NHS FOUNDATION TRUST"/>
        <s v="ROYAL FREE LONDON NHS FOUNDATION TRUST"/>
        <s v="ROYAL SURREY NHS FOUNDATION TRUST"/>
        <s v="ROYAL UNITED HOSPITALS BATH NHS FOUNDATION TRUST"/>
        <s v="SALFORD ROYAL NHS FOUNDATION TRUST"/>
        <s v="SALISBURY NHS FOUNDATION TRUST"/>
        <s v="SANDWELL AND WEST BIRMINGHAM HOSPITALS NHS TRUST"/>
        <s v="SHEFFIELD CHILDREN'S NHS FOUNDATION TRUST"/>
        <s v="SHEFFIELD TEACHING HOSPITALS NHS FOUNDATION TRUST"/>
        <s v="SHERWOOD FOREST HOSPITALS NHS FOUNDATION TRUST"/>
        <s v="SHREWSBURY AND TELFORD HOSPITAL NHS TRUST"/>
        <s v="SOMERSET NHS FOUNDATION TRUST"/>
        <s v="SOUTH TEES HOSPITALS NHS FOUNDATION TRUST"/>
        <s v="SOUTH TYNESIDE AND SUNDERLAND NHS FOUNDATION TRUST"/>
        <s v="SOUTH WARWICKSHIRE NHS FOUNDATION TRUST"/>
        <s v="SOUTHPORT AND ORMSKIRK HOSPITAL NHS TRUST"/>
        <s v="ST GEORGE'S UNIVERSITY HOSPITALS NHS FOUNDATION TRUST"/>
        <s v="ST HELENS AND KNOWSLEY HOSPITALS NHS TRUST"/>
        <s v="STOCKPORT NHS FOUNDATION TRUST"/>
        <s v="SURREY AND SUSSEX HEALTHCARE NHS TRUST"/>
        <s v="TAMESIDE AND GLOSSOP INTEGRATED CARE NHS FOUNDATION TRUST"/>
        <s v="THE DUDLEY GROUP NHS FOUNDATION TRUST"/>
        <s v="THE HILLINGDON HOSPITALS NHS FOUNDATION TRUST"/>
        <s v="THE NEWCASTLE UPON TYNE HOSPITALS NHS FOUNDATION TRUST"/>
        <s v="THE PRINCESS ALEXANDRA HOSPITAL NHS TRUST"/>
        <s v="THE QUEEN ELIZABETH HOSPITAL KING'S LYNN NHS FOUNDATION TRUST"/>
        <s v="THE ROTHERHAM NHS FOUNDATION TRUST"/>
        <s v="THE ROYAL WOLVERHAMPTON NHS TRUST"/>
        <s v="TORBAY AND SOUTH DEVON NHS FOUNDATION TRUST"/>
        <s v="UNITED LINCOLNSHIRE HOSPITALS NHS TRUST"/>
        <s v="UNIVERSITY COLLEGE LONDON HOSPITALS NHS FOUNDATION TRUST"/>
        <s v="UNIVERSITY HOSPITAL SOUTHAMPTON NHS FOUNDATION TRUST"/>
        <s v="UNIVERSITY HOSPITALS BIRMINGHAM NHS FOUNDATION TRUST"/>
        <s v="University Hospitals Bristol and Weston NHS Foundation Trust"/>
        <s v="UNIVERSITY HOSPITALS COVENTRY AND WARWICKSHIRE NHS TRUST"/>
        <s v="UNIVERSITY HOSPITALS DORSET NHS FOUNDATION TRUST"/>
        <s v="UNIVERSITY HOSPITALS OF DERBY AND BURTON NHS FOUNDATION TRUST"/>
        <s v="UNIVERSITY HOSPITALS OF LEICESTER NHS TRUST"/>
        <s v="UNIVERSITY HOSPITALS OF MORECAMBE BAY NHS FOUNDATION TRUST"/>
        <s v="UNIVERSITY HOSPITALS OF NORTH MIDLANDS NHS TRUST"/>
        <s v="UNIVERSITY HOSPITALS PLYMOUTH NHS TRUST"/>
        <s v="WALSALL HEALTHCARE NHS TRUST"/>
        <s v="WARRINGTON AND HALTON TEACHING HOSPITALS NHS FOUNDATION TRUST"/>
        <s v="WEST HERTFORDSHIRE HOSPITALS NHS TRUST"/>
        <s v="WEST SUFFOLK NHS FOUNDATION TRUST"/>
        <s v="WESTERN SUSSEX HOSPITALS NHS FOUNDATION TRUST"/>
        <s v="WHITTINGTON HEALTH NHS TRUST"/>
        <s v="WIRRAL UNIVERSITY TEACHING HOSPITAL NHS FOUNDATION TRUST"/>
        <s v="WORCESTERSHIRE ACUTE HOSPITALS NHS TRUST"/>
        <s v="WRIGHTINGTON, WIGAN AND LEIGH NHS FOUNDATION TRUST"/>
        <s v="WYE VALLEY NHS TRUST"/>
        <s v="YEOVIL DISTRICT HOSPITAL NHS FOUNDATION TRUST"/>
        <s v="YORK TEACHING HOSPITAL NHS FOUNDATION TRUST"/>
      </sharedItems>
    </cacheField>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2" memberValueDatatype="130" unbalanced="0">
      <fieldsUsage count="2">
        <fieldUsage x="-1"/>
        <fieldUsage x="3"/>
      </fieldsUsage>
    </cacheHierarchy>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2"/>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oneField="1">
      <fieldsUsage count="1">
        <fieldUsage x="1"/>
      </fieldsUsage>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402430552" createdVersion="4" refreshedVersion="6" minRefreshableVersion="3" recordCount="0" supportSubquery="1" supportAdvancedDrill="1" xr:uid="{00000000-000A-0000-FFFF-FFFF1B010000}">
  <cacheSource type="external" connectionId="4"/>
  <cacheFields count="3">
    <cacheField name="[Winter daily sitreps].[Year].[Year]" caption="Year" numFmtId="0" hierarchy="62" level="1">
      <sharedItems containsSemiMixedTypes="0" containsString="0"/>
    </cacheField>
    <cacheField name="[Winter daily sitreps].[Date].[Date]" caption="Date" numFmtId="0" hierarchy="36" level="1">
      <sharedItems containsSemiMixedTypes="0" containsNonDate="0" containsDate="1" containsString="0" minDate="2020-11-30T00:00:00" maxDate="2021-03-01T00:00:00" count="91">
        <d v="2020-11-30T00:00:00"/>
        <d v="2020-12-01T00:00:00"/>
        <d v="2020-12-02T00:00:00"/>
        <d v="2020-12-03T00:00:00"/>
        <d v="2020-12-04T00:00:00"/>
        <d v="2020-12-05T00:00:00"/>
        <d v="2020-12-06T00:00:00"/>
        <d v="2020-12-07T00:00:00"/>
        <d v="2020-12-08T00:00:00"/>
        <d v="2020-12-09T00:00:00"/>
        <d v="2020-12-10T00:00:00"/>
        <d v="2020-12-11T00:00:00"/>
        <d v="2020-12-12T00:00:00"/>
        <d v="2020-12-13T00:00:00"/>
        <d v="2020-12-14T00:00:00"/>
        <d v="2020-12-15T00:00:00"/>
        <d v="2020-12-16T00:00:00"/>
        <d v="2020-12-17T00:00:00"/>
        <d v="2020-12-18T00:00:00"/>
        <d v="2020-12-19T00:00:00"/>
        <d v="2020-12-20T00:00:00"/>
        <d v="2020-12-21T00:00:00"/>
        <d v="2020-12-22T00:00:00"/>
        <d v="2020-12-23T00:00:00"/>
        <d v="2020-12-24T00:00:00"/>
        <d v="2020-12-25T00:00:00"/>
        <d v="2020-12-26T00:00:00"/>
        <d v="2020-12-27T00:00:00"/>
        <d v="2020-12-28T00:00:00"/>
        <d v="2020-12-29T00:00:00"/>
        <d v="2020-12-30T00:00:00"/>
        <d v="2020-12-31T00:00:00"/>
        <d v="2021-01-01T00:00:00"/>
        <d v="2021-01-02T00:00:00"/>
        <d v="2021-01-03T00:00:00"/>
        <d v="2021-01-04T00:00:00"/>
        <d v="2021-01-05T00:00:00"/>
        <d v="2021-01-06T00:00:00"/>
        <d v="2021-01-07T00:00:00"/>
        <d v="2021-01-08T00:00:00"/>
        <d v="2021-01-09T00:00:00"/>
        <d v="2021-01-10T00:00:00"/>
        <d v="2021-01-11T00:00:00"/>
        <d v="2021-01-12T00:00:00"/>
        <d v="2021-01-13T00:00:00"/>
        <d v="2021-01-14T00:00:00"/>
        <d v="2021-01-15T00:00:00"/>
        <d v="2021-01-16T00:00:00"/>
        <d v="2021-01-17T00:00:00"/>
        <d v="2021-01-18T00:00:00"/>
        <d v="2021-01-19T00:00:00"/>
        <d v="2021-01-20T00:00:00"/>
        <d v="2021-01-21T00:00:00"/>
        <d v="2021-01-22T00:00:00"/>
        <d v="2021-01-23T00:00:00"/>
        <d v="2021-01-24T00:00:00"/>
        <d v="2021-01-25T00:00:00"/>
        <d v="2021-01-26T00:00:00"/>
        <d v="2021-01-27T00:00:00"/>
        <d v="2021-01-28T00:00:00"/>
        <d v="2021-01-29T00:00:00"/>
        <d v="2021-01-30T00:00:00"/>
        <d v="2021-01-31T00:00:00"/>
        <d v="2021-02-01T00:00:00"/>
        <d v="2021-02-02T00:00:00"/>
        <d v="2021-02-03T00:00:00"/>
        <d v="2021-02-04T00:00:00"/>
        <d v="2021-02-05T00:00:00"/>
        <d v="2021-02-06T00:00:00"/>
        <d v="2021-02-07T00:00:00"/>
        <d v="2021-02-08T00:00:00"/>
        <d v="2021-02-09T00:00:00"/>
        <d v="2021-02-10T00:00:00"/>
        <d v="2021-02-11T00:00:00"/>
        <d v="2021-02-12T00:00:00"/>
        <d v="2021-02-13T00:00:00"/>
        <d v="2021-02-14T00:00:00"/>
        <d v="2021-02-15T00:00:00"/>
        <d v="2021-02-16T00:00:00"/>
        <d v="2021-02-17T00:00:00"/>
        <d v="2021-02-18T00:00:00"/>
        <d v="2021-02-19T00:00:00"/>
        <d v="2021-02-20T00:00:00"/>
        <d v="2021-02-21T00:00:00"/>
        <d v="2021-02-22T00:00:00"/>
        <d v="2021-02-23T00:00:00"/>
        <d v="2021-02-24T00:00:00"/>
        <d v="2021-02-25T00:00:00"/>
        <d v="2021-02-26T00:00:00"/>
        <d v="2021-02-27T00:00:00"/>
        <d v="2021-02-28T00:00:00"/>
      </sharedItems>
    </cacheField>
    <cacheField name="[Measures].[Sum of Beds closed norovirus]" caption="Sum of Beds closed norovirus" numFmtId="0" hierarchy="74" level="32767"/>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2" memberValueDatatype="7"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oneField="1">
      <fieldsUsage count="1">
        <fieldUsage x="2"/>
      </fieldsUsage>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403819445" createdVersion="4" refreshedVersion="6" minRefreshableVersion="3" recordCount="0" supportSubquery="1" supportAdvancedDrill="1" xr:uid="{00000000-000A-0000-FFFF-FFFF1C010000}">
  <cacheSource type="external" connectionId="4"/>
  <cacheFields count="3">
    <cacheField name="[Winter daily sitreps].[Year].[Year]" caption="Year" numFmtId="0" hierarchy="62" level="1">
      <sharedItems containsSemiMixedTypes="0" containsString="0"/>
    </cacheField>
    <cacheField name="[Winter daily sitreps].[Week].[Week]" caption="Week" numFmtId="0" hierarchy="37" level="1">
      <sharedItems containsSemiMixedTypes="0" containsString="0" containsNumber="1" containsInteger="1" minValue="1" maxValue="13" count="13">
        <n v="1"/>
        <n v="2"/>
        <n v="3"/>
        <n v="4"/>
        <n v="5"/>
        <n v="6"/>
        <n v="7"/>
        <n v="8"/>
        <n v="9"/>
        <n v="10"/>
        <n v="11"/>
        <n v="12"/>
        <n v="13"/>
      </sharedItems>
    </cacheField>
    <cacheField name="[Measures].[Sum of Beds closed norovius unocc]" caption="Sum of Beds closed norovius unocc" numFmtId="0" hierarchy="75" level="32767"/>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2" memberValueDatatype="5"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oneField="1">
      <fieldsUsage count="1">
        <fieldUsage x="2"/>
      </fieldsUsage>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405439815" createdVersion="4" refreshedVersion="6" minRefreshableVersion="3" recordCount="0" supportSubquery="1" supportAdvancedDrill="1" xr:uid="{00000000-000A-0000-FFFF-FFFF01010000}">
  <cacheSource type="external" connectionId="4"/>
  <cacheFields count="4">
    <cacheField name="[Winter daily sitreps].[Year].[Year]" caption="Year" numFmtId="0" hierarchy="62" level="1">
      <sharedItems containsSemiMixedTypes="0" containsString="0"/>
    </cacheField>
    <cacheField name="[Winter daily sitreps].[Week long].[Week long]" caption="Week long" numFmtId="0" hierarchy="68" level="1">
      <sharedItems count="13">
        <s v="Week 1"/>
        <s v="Week 10"/>
        <s v="Week 11"/>
        <s v="Week 12"/>
        <s v="Week 13"/>
        <s v="Week 2"/>
        <s v="Week 3"/>
        <s v="Week 4"/>
        <s v="Week 5"/>
        <s v="Week 6"/>
        <s v="Week 7"/>
        <s v="Week 8"/>
        <s v="Week 9"/>
      </sharedItems>
    </cacheField>
    <cacheField name="[Winter daily sitreps].[Region].[Region]" caption="Region" numFmtId="0" hierarchy="61" level="1">
      <sharedItems count="7">
        <s v="East Of England"/>
        <s v="London"/>
        <s v="Midlands"/>
        <s v="North East and Yorkshire"/>
        <s v="North West"/>
        <s v="South East"/>
        <s v="South West"/>
      </sharedItems>
    </cacheField>
    <cacheField name="[Measures].[Sum of Beds closed norovius unocc]" caption="Sum of Beds closed norovius unocc" numFmtId="0" hierarchy="75" level="32767"/>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2"/>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1"/>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oneField="1">
      <fieldsUsage count="1">
        <fieldUsage x="3"/>
      </fieldsUsage>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407175924" createdVersion="4" refreshedVersion="6" minRefreshableVersion="3" recordCount="0" supportSubquery="1" supportAdvancedDrill="1" xr:uid="{00000000-000A-0000-FFFF-FFFF1D010000}">
  <cacheSource type="external" connectionId="4"/>
  <cacheFields count="4">
    <cacheField name="[Winter daily sitreps].[Year].[Year]" caption="Year" numFmtId="0" hierarchy="62" level="1">
      <sharedItems containsSemiMixedTypes="0" containsString="0"/>
    </cacheField>
    <cacheField name="[Winter daily sitreps].[Week long].[Week long]" caption="Week long" numFmtId="0" hierarchy="68" level="1">
      <sharedItems count="13">
        <s v="Week 1"/>
        <s v="Week 10"/>
        <s v="Week 11"/>
        <s v="Week 12"/>
        <s v="Week 13"/>
        <s v="Week 2"/>
        <s v="Week 3"/>
        <s v="Week 4"/>
        <s v="Week 5"/>
        <s v="Week 6"/>
        <s v="Week 7"/>
        <s v="Week 8"/>
        <s v="Week 9"/>
      </sharedItems>
    </cacheField>
    <cacheField name="[Winter daily sitreps].[Name].[Name]" caption="Name" numFmtId="0" hierarchy="35" level="1">
      <sharedItems count="127">
        <s v="AIREDALE NHS FOUNDATION TRUST"/>
        <s v="ALDER HEY CHILDREN'S NHS FOUNDATION TRUST"/>
        <s v="ASHFORD AND ST. PETER'S HOSPITALS NHS FOUNDATION TRUST"/>
        <s v="BARKING, HAVERING AND REDBRIDGE UNIVERSITY HOSPITALS NHS TRUST"/>
        <s v="BARNSLEY HOSPITAL NHS FOUNDATION TRUST"/>
        <s v="BARTS HEALTH NHS TRUST"/>
        <s v="Bedfordshire Hospitals NHS Foundation Trust"/>
        <s v="BIRMINGHAM WOMEN'S AND CHILDREN'S NHS FOUNDATION TRUST"/>
        <s v="BLACKPOOL TEACHING HOSPITALS NHS FOUNDATION TRUST"/>
        <s v="BOLTON NHS FOUNDATION TRUST"/>
        <s v="BRADFORD TEACHING HOSPITALS NHS FOUNDATION TRUST"/>
        <s v="BRIGHTON AND SUSSEX UNIVERSITY HOSPITALS NHS TRUST"/>
        <s v="BUCKINGHAMSHIRE HEALTHCARE NHS TRUST"/>
        <s v="CALDERDALE AND HUDDERSFIELD NHS FOUNDATION TRUST"/>
        <s v="CAMBRIDGE UNIVERSITY HOSPITALS NHS FOUNDATION TRUST"/>
        <s v="CHELSEA AND WESTMINSTER HOSPITAL NHS FOUNDATION TRUST"/>
        <s v="CHESTERFIELD ROYAL HOSPITAL NHS FOUNDATION TRUST"/>
        <s v="COUNTESS OF CHESTER HOSPITAL NHS FOUNDATION TRUST"/>
        <s v="COUNTY DURHAM AND DARLINGTON NHS FOUNDATION TRUST"/>
        <s v="CROYDON HEALTH SERVICES NHS TRUST"/>
        <s v="DARTFORD AND GRAVESHAM NHS TRUST"/>
        <s v="DONCASTER AND BASSETLAW TEACHING HOSPITALS NHS FOUNDATION TRUST"/>
        <s v="DORSET COUNTY HOSPITAL NHS FOUNDATION TRUST"/>
        <s v="EAST AND NORTH HERTFORDSHIRE NHS TRUST"/>
        <s v="EAST CHESHIRE NHS TRUST"/>
        <s v="EAST KENT HOSPITALS UNIVERSITY NHS FOUNDATION TRUST"/>
        <s v="EAST LANCASHIRE HOSPITALS NHS TRUST"/>
        <s v="EAST SUFFOLK AND NORTH ESSEX NHS FOUNDATION TRUST"/>
        <s v="EAST SUSSEX HEALTHCARE NHS TRUST"/>
        <s v="EPSOM AND ST HELIER UNIVERSITY HOSPITALS NHS TRUST"/>
        <s v="FRIMLEY HEALTH NHS FOUNDATION TRUST"/>
        <s v="GATESHEAD HEALTH NHS FOUNDATION TRUST"/>
        <s v="GEORGE ELIOT HOSPITAL NHS TRUST"/>
        <s v="GLOUCESTERSHIRE HOSPITALS NHS FOUNDATION TRUST"/>
        <s v="GREAT WESTERN HOSPITALS NHS FOUNDATION TRUST"/>
        <s v="GUY'S AND ST THOMAS' NHS FOUNDATION TRUST"/>
        <s v="HAMPSHIRE HOSPITALS NHS FOUNDATION TRUST"/>
        <s v="HARROGATE AND DISTRICT NHS FOUNDATION TRUST"/>
        <s v="HOMERTON UNIVERSITY HOSPITAL NHS FOUNDATION TRUST"/>
        <s v="HULL UNIVERSITY TEACHING HOSPITALS NHS TRUST"/>
        <s v="IMPERIAL COLLEGE HEALTHCARE NHS TRUST"/>
        <s v="ISLE OF WIGHT NHS TRUST"/>
        <s v="JAMES PAGET UNIVERSITY HOSPITALS NHS FOUNDATION TRUST"/>
        <s v="KETTERING GENERAL HOSPITAL NHS FOUNDATION TRUST"/>
        <s v="KING'S COLLEGE HOSPITAL NHS FOUNDATION TRUST"/>
        <s v="KINGSTON HOSPITAL NHS FOUNDATION TRUST"/>
        <s v="LANCASHIRE TEACHING HOSPITALS NHS FOUNDATION TRUST"/>
        <s v="LEEDS TEACHING HOSPITALS NHS TRUST"/>
        <s v="LEWISHAM AND GREENWICH NHS TRUST"/>
        <s v="LIVERPOOL UNIVERSITY HOSPITALS NHS FOUNDATION TRUST"/>
        <s v="LONDON NORTH WEST UNIVERSITY HEALTHCARE NHS TRUST"/>
        <s v="MAIDSTONE AND TUNBRIDGE WELLS NHS TRUST"/>
        <s v="MANCHESTER UNIVERSITY NHS FOUNDATION TRUST"/>
        <s v="MEDWAY NHS FOUNDATION TRUST"/>
        <s v="MID AND SOUTH ESSEX NHS FOUNDATION TRUST"/>
        <s v="MID CHESHIRE HOSPITALS NHS FOUNDATION TRUST"/>
        <s v="MID YORKSHIRE HOSPITALS NHS TRUST"/>
        <s v="MILTON KEYNES UNIVERSITY HOSPITAL NHS FOUNDATION TRUST"/>
        <s v="NORFOLK AND NORWICH UNIVERSITY HOSPITALS NHS FOUNDATION TRUST"/>
        <s v="NORTH BRISTOL NHS TRUST"/>
        <s v="NORTH CUMBRIA INTEGRATED CARE NHS FOUNDATION TRUST"/>
        <s v="NORTH MIDDLESEX UNIVERSITY HOSPITAL NHS TRUST"/>
        <s v="NORTH TEES AND HARTLEPOOL NHS FOUNDATION TRUST"/>
        <s v="NORTH WEST ANGLIA NHS FOUNDATION TRUST"/>
        <s v="NORTHAMPTON GENERAL HOSPITAL NHS TRUST"/>
        <s v="NORTHERN DEVON HEALTHCARE NHS TRUST"/>
        <s v="NORTHERN LINCOLNSHIRE AND GOOLE NHS FOUNDATION TRUST"/>
        <s v="NORTHUMBRIA HEALTHCARE NHS FOUNDATION TRUST"/>
        <s v="NOTTINGHAM UNIVERSITY HOSPITALS NHS TRUST"/>
        <s v="OXFORD UNIVERSITY HOSPITALS NHS FOUNDATION TRUST"/>
        <s v="PENNINE ACUTE HOSPITALS NHS TRUST"/>
        <s v="PORTSMOUTH HOSPITALS UNIVERSITY NHS TRUST"/>
        <s v="ROYAL BERKSHIRE NHS FOUNDATION TRUST"/>
        <s v="ROYAL CORNWALL HOSPITALS NHS TRUST"/>
        <s v="ROYAL DEVON AND EXETER NHS FOUNDATION TRUST"/>
        <s v="ROYAL FREE LONDON NHS FOUNDATION TRUST"/>
        <s v="ROYAL SURREY NHS FOUNDATION TRUST"/>
        <s v="ROYAL UNITED HOSPITALS BATH NHS FOUNDATION TRUST"/>
        <s v="SALFORD ROYAL NHS FOUNDATION TRUST"/>
        <s v="SALISBURY NHS FOUNDATION TRUST"/>
        <s v="SANDWELL AND WEST BIRMINGHAM HOSPITALS NHS TRUST"/>
        <s v="SHEFFIELD CHILDREN'S NHS FOUNDATION TRUST"/>
        <s v="SHEFFIELD TEACHING HOSPITALS NHS FOUNDATION TRUST"/>
        <s v="SHERWOOD FOREST HOSPITALS NHS FOUNDATION TRUST"/>
        <s v="SHREWSBURY AND TELFORD HOSPITAL NHS TRUST"/>
        <s v="SOMERSET NHS FOUNDATION TRUST"/>
        <s v="SOUTH TEES HOSPITALS NHS FOUNDATION TRUST"/>
        <s v="SOUTH TYNESIDE AND SUNDERLAND NHS FOUNDATION TRUST"/>
        <s v="SOUTH WARWICKSHIRE NHS FOUNDATION TRUST"/>
        <s v="SOUTHPORT AND ORMSKIRK HOSPITAL NHS TRUST"/>
        <s v="ST GEORGE'S UNIVERSITY HOSPITALS NHS FOUNDATION TRUST"/>
        <s v="ST HELENS AND KNOWSLEY HOSPITALS NHS TRUST"/>
        <s v="STOCKPORT NHS FOUNDATION TRUST"/>
        <s v="SURREY AND SUSSEX HEALTHCARE NHS TRUST"/>
        <s v="TAMESIDE AND GLOSSOP INTEGRATED CARE NHS FOUNDATION TRUST"/>
        <s v="THE DUDLEY GROUP NHS FOUNDATION TRUST"/>
        <s v="THE HILLINGDON HOSPITALS NHS FOUNDATION TRUST"/>
        <s v="THE NEWCASTLE UPON TYNE HOSPITALS NHS FOUNDATION TRUST"/>
        <s v="THE PRINCESS ALEXANDRA HOSPITAL NHS TRUST"/>
        <s v="THE QUEEN ELIZABETH HOSPITAL KING'S LYNN NHS FOUNDATION TRUST"/>
        <s v="THE ROTHERHAM NHS FOUNDATION TRUST"/>
        <s v="THE ROYAL WOLVERHAMPTON NHS TRUST"/>
        <s v="TORBAY AND SOUTH DEVON NHS FOUNDATION TRUST"/>
        <s v="UNITED LINCOLNSHIRE HOSPITALS NHS TRUST"/>
        <s v="UNIVERSITY COLLEGE LONDON HOSPITALS NHS FOUNDATION TRUST"/>
        <s v="UNIVERSITY HOSPITAL SOUTHAMPTON NHS FOUNDATION TRUST"/>
        <s v="UNIVERSITY HOSPITALS BIRMINGHAM NHS FOUNDATION TRUST"/>
        <s v="University Hospitals Bristol and Weston NHS Foundation Trust"/>
        <s v="UNIVERSITY HOSPITALS COVENTRY AND WARWICKSHIRE NHS TRUST"/>
        <s v="UNIVERSITY HOSPITALS DORSET NHS FOUNDATION TRUST"/>
        <s v="UNIVERSITY HOSPITALS OF DERBY AND BURTON NHS FOUNDATION TRUST"/>
        <s v="UNIVERSITY HOSPITALS OF LEICESTER NHS TRUST"/>
        <s v="UNIVERSITY HOSPITALS OF MORECAMBE BAY NHS FOUNDATION TRUST"/>
        <s v="UNIVERSITY HOSPITALS OF NORTH MIDLANDS NHS TRUST"/>
        <s v="UNIVERSITY HOSPITALS PLYMOUTH NHS TRUST"/>
        <s v="WALSALL HEALTHCARE NHS TRUST"/>
        <s v="WARRINGTON AND HALTON TEACHING HOSPITALS NHS FOUNDATION TRUST"/>
        <s v="WEST HERTFORDSHIRE HOSPITALS NHS TRUST"/>
        <s v="WEST SUFFOLK NHS FOUNDATION TRUST"/>
        <s v="WESTERN SUSSEX HOSPITALS NHS FOUNDATION TRUST"/>
        <s v="WHITTINGTON HEALTH NHS TRUST"/>
        <s v="WIRRAL UNIVERSITY TEACHING HOSPITAL NHS FOUNDATION TRUST"/>
        <s v="WORCESTERSHIRE ACUTE HOSPITALS NHS TRUST"/>
        <s v="WRIGHTINGTON, WIGAN AND LEIGH NHS FOUNDATION TRUST"/>
        <s v="WYE VALLEY NHS TRUST"/>
        <s v="YEOVIL DISTRICT HOSPITAL NHS FOUNDATION TRUST"/>
        <s v="YORK TEACHING HOSPITAL NHS FOUNDATION TRUST"/>
      </sharedItems>
    </cacheField>
    <cacheField name="[Measures].[Sum of Beds closed norovius unocc]" caption="Sum of Beds closed norovius unocc" numFmtId="0" hierarchy="75" level="32767"/>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2" memberValueDatatype="130" unbalanced="0">
      <fieldsUsage count="2">
        <fieldUsage x="-1"/>
        <fieldUsage x="2"/>
      </fieldsUsage>
    </cacheHierarchy>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1"/>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oneField="1">
      <fieldsUsage count="1">
        <fieldUsage x="3"/>
      </fieldsUsage>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409027779" createdVersion="4" refreshedVersion="6" minRefreshableVersion="3" recordCount="0" supportSubquery="1" supportAdvancedDrill="1" xr:uid="{00000000-000A-0000-FFFF-FFFF1E010000}">
  <cacheSource type="external" connectionId="4"/>
  <cacheFields count="3">
    <cacheField name="[Winter daily sitreps].[Year].[Year]" caption="Year" numFmtId="0" hierarchy="62" level="1">
      <sharedItems containsSemiMixedTypes="0" containsString="0"/>
    </cacheField>
    <cacheField name="[Winter daily sitreps].[Date].[Date]" caption="Date" numFmtId="0" hierarchy="36" level="1">
      <sharedItems containsSemiMixedTypes="0" containsNonDate="0" containsDate="1" containsString="0" minDate="2020-11-30T00:00:00" maxDate="2021-03-01T00:00:00" count="91">
        <d v="2020-11-30T00:00:00"/>
        <d v="2020-12-01T00:00:00"/>
        <d v="2020-12-02T00:00:00"/>
        <d v="2020-12-03T00:00:00"/>
        <d v="2020-12-04T00:00:00"/>
        <d v="2020-12-05T00:00:00"/>
        <d v="2020-12-06T00:00:00"/>
        <d v="2020-12-07T00:00:00"/>
        <d v="2020-12-08T00:00:00"/>
        <d v="2020-12-09T00:00:00"/>
        <d v="2020-12-10T00:00:00"/>
        <d v="2020-12-11T00:00:00"/>
        <d v="2020-12-12T00:00:00"/>
        <d v="2020-12-13T00:00:00"/>
        <d v="2020-12-14T00:00:00"/>
        <d v="2020-12-15T00:00:00"/>
        <d v="2020-12-16T00:00:00"/>
        <d v="2020-12-17T00:00:00"/>
        <d v="2020-12-18T00:00:00"/>
        <d v="2020-12-19T00:00:00"/>
        <d v="2020-12-20T00:00:00"/>
        <d v="2020-12-21T00:00:00"/>
        <d v="2020-12-22T00:00:00"/>
        <d v="2020-12-23T00:00:00"/>
        <d v="2020-12-24T00:00:00"/>
        <d v="2020-12-25T00:00:00"/>
        <d v="2020-12-26T00:00:00"/>
        <d v="2020-12-27T00:00:00"/>
        <d v="2020-12-28T00:00:00"/>
        <d v="2020-12-29T00:00:00"/>
        <d v="2020-12-30T00:00:00"/>
        <d v="2020-12-31T00:00:00"/>
        <d v="2021-01-01T00:00:00"/>
        <d v="2021-01-02T00:00:00"/>
        <d v="2021-01-03T00:00:00"/>
        <d v="2021-01-04T00:00:00"/>
        <d v="2021-01-05T00:00:00"/>
        <d v="2021-01-06T00:00:00"/>
        <d v="2021-01-07T00:00:00"/>
        <d v="2021-01-08T00:00:00"/>
        <d v="2021-01-09T00:00:00"/>
        <d v="2021-01-10T00:00:00"/>
        <d v="2021-01-11T00:00:00"/>
        <d v="2021-01-12T00:00:00"/>
        <d v="2021-01-13T00:00:00"/>
        <d v="2021-01-14T00:00:00"/>
        <d v="2021-01-15T00:00:00"/>
        <d v="2021-01-16T00:00:00"/>
        <d v="2021-01-17T00:00:00"/>
        <d v="2021-01-18T00:00:00"/>
        <d v="2021-01-19T00:00:00"/>
        <d v="2021-01-20T00:00:00"/>
        <d v="2021-01-21T00:00:00"/>
        <d v="2021-01-22T00:00:00"/>
        <d v="2021-01-23T00:00:00"/>
        <d v="2021-01-24T00:00:00"/>
        <d v="2021-01-25T00:00:00"/>
        <d v="2021-01-26T00:00:00"/>
        <d v="2021-01-27T00:00:00"/>
        <d v="2021-01-28T00:00:00"/>
        <d v="2021-01-29T00:00:00"/>
        <d v="2021-01-30T00:00:00"/>
        <d v="2021-01-31T00:00:00"/>
        <d v="2021-02-01T00:00:00"/>
        <d v="2021-02-02T00:00:00"/>
        <d v="2021-02-03T00:00:00"/>
        <d v="2021-02-04T00:00:00"/>
        <d v="2021-02-05T00:00:00"/>
        <d v="2021-02-06T00:00:00"/>
        <d v="2021-02-07T00:00:00"/>
        <d v="2021-02-08T00:00:00"/>
        <d v="2021-02-09T00:00:00"/>
        <d v="2021-02-10T00:00:00"/>
        <d v="2021-02-11T00:00:00"/>
        <d v="2021-02-12T00:00:00"/>
        <d v="2021-02-13T00:00:00"/>
        <d v="2021-02-14T00:00:00"/>
        <d v="2021-02-15T00:00:00"/>
        <d v="2021-02-16T00:00:00"/>
        <d v="2021-02-17T00:00:00"/>
        <d v="2021-02-18T00:00:00"/>
        <d v="2021-02-19T00:00:00"/>
        <d v="2021-02-20T00:00:00"/>
        <d v="2021-02-21T00:00:00"/>
        <d v="2021-02-22T00:00:00"/>
        <d v="2021-02-23T00:00:00"/>
        <d v="2021-02-24T00:00:00"/>
        <d v="2021-02-25T00:00:00"/>
        <d v="2021-02-26T00:00:00"/>
        <d v="2021-02-27T00:00:00"/>
        <d v="2021-02-28T00:00:00"/>
      </sharedItems>
    </cacheField>
    <cacheField name="[Measures].[Sum of Beds closed norovius unocc]" caption="Sum of Beds closed norovius unocc" numFmtId="0" hierarchy="75" level="32767"/>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2" memberValueDatatype="7"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oneField="1">
      <fieldsUsage count="1">
        <fieldUsage x="2"/>
      </fieldsUsage>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41064815" createdVersion="4" refreshedVersion="6" minRefreshableVersion="3" recordCount="0" supportSubquery="1" supportAdvancedDrill="1" xr:uid="{00000000-000A-0000-FFFF-FFFF1F010000}">
  <cacheSource type="external" connectionId="4"/>
  <cacheFields count="4">
    <cacheField name="[Winter daily sitreps].[Year].[Year]" caption="Year" numFmtId="0" hierarchy="62" level="1">
      <sharedItems containsSemiMixedTypes="0" containsString="0"/>
    </cacheField>
    <cacheField name="[Winter daily sitreps].[Week].[Week]" caption="Week" numFmtId="0" hierarchy="37" level="1">
      <sharedItems containsSemiMixedTypes="0" containsString="0" containsNumber="1" containsInteger="1" minValue="1" maxValue="13" count="13">
        <n v="1"/>
        <n v="2"/>
        <n v="3"/>
        <n v="4"/>
        <n v="5"/>
        <n v="6"/>
        <n v="7"/>
        <n v="8"/>
        <n v="9"/>
        <n v="10"/>
        <n v="11"/>
        <n v="12"/>
        <n v="13"/>
      </sharedItems>
    </cacheField>
    <cacheField name="[Measures].[Sum of Adult CC beds avail]" caption="Sum of Adult CC beds avail" numFmtId="0" hierarchy="77" level="32767"/>
    <cacheField name="[Measures].[Sum of Adult CC beds occ]" caption="Sum of Adult CC beds occ" numFmtId="0" hierarchy="78" level="32767"/>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2" memberValueDatatype="5"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oneField="1">
      <fieldsUsage count="1">
        <fieldUsage x="2"/>
      </fieldsUsage>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oneField="1">
      <fieldsUsage count="1">
        <fieldUsage x="3"/>
      </fieldsUsage>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41226852" createdVersion="4" refreshedVersion="6" minRefreshableVersion="3" recordCount="0" supportSubquery="1" supportAdvancedDrill="1" xr:uid="{00000000-000A-0000-FFFF-FFFF09010000}">
  <cacheSource type="external" connectionId="4"/>
  <cacheFields count="5">
    <cacheField name="[Winter daily sitreps].[Year].[Year]" caption="Year" numFmtId="0" hierarchy="62" level="1">
      <sharedItems containsSemiMixedTypes="0" containsString="0"/>
    </cacheField>
    <cacheField name="[Measures].[Sum of Adult CC beds avail]" caption="Sum of Adult CC beds avail" numFmtId="0" hierarchy="77" level="32767"/>
    <cacheField name="[Measures].[Sum of Adult CC beds occ]" caption="Sum of Adult CC beds occ" numFmtId="0" hierarchy="78" level="32767"/>
    <cacheField name="[Winter daily sitreps].[Week long].[Week long]" caption="Week long" numFmtId="0" hierarchy="68" level="1">
      <sharedItems count="13">
        <s v="Week 1"/>
        <s v="Week 10"/>
        <s v="Week 11"/>
        <s v="Week 12"/>
        <s v="Week 13"/>
        <s v="Week 2"/>
        <s v="Week 3"/>
        <s v="Week 4"/>
        <s v="Week 5"/>
        <s v="Week 6"/>
        <s v="Week 7"/>
        <s v="Week 8"/>
        <s v="Week 9"/>
      </sharedItems>
    </cacheField>
    <cacheField name="[Winter daily sitreps].[Region].[Region]" caption="Region" numFmtId="0" hierarchy="61" level="1">
      <sharedItems count="7">
        <s v="East Of England"/>
        <s v="London"/>
        <s v="Midlands"/>
        <s v="North East and Yorkshire"/>
        <s v="North West"/>
        <s v="South East"/>
        <s v="South West"/>
      </sharedItems>
    </cacheField>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4"/>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3"/>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oneField="1">
      <fieldsUsage count="1">
        <fieldUsage x="1"/>
      </fieldsUsage>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oneField="1">
      <fieldsUsage count="1">
        <fieldUsage x="2"/>
      </fieldsUsage>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41388889" createdVersion="4" refreshedVersion="6" minRefreshableVersion="3" recordCount="0" supportSubquery="1" supportAdvancedDrill="1" xr:uid="{00000000-000A-0000-FFFF-FFFF20010000}">
  <cacheSource type="external" connectionId="4"/>
  <cacheFields count="4">
    <cacheField name="[Winter daily sitreps].[Year].[Year]" caption="Year" numFmtId="0" hierarchy="62" level="1">
      <sharedItems containsSemiMixedTypes="0" containsString="0"/>
    </cacheField>
    <cacheField name="[Winter daily sitreps].[Week].[Week]" caption="Week" numFmtId="0" hierarchy="37" level="1">
      <sharedItems containsSemiMixedTypes="0" containsString="0" containsNumber="1" containsInteger="1" minValue="1" maxValue="13" count="13">
        <n v="1"/>
        <n v="2"/>
        <n v="3"/>
        <n v="4"/>
        <n v="5"/>
        <n v="6"/>
        <n v="7"/>
        <n v="8"/>
        <n v="9"/>
        <n v="10"/>
        <n v="11"/>
        <n v="12"/>
        <n v="13"/>
      </sharedItems>
    </cacheField>
    <cacheField name="[Measures].[Sum of Adult CC beds avail]" caption="Sum of Adult CC beds avail" numFmtId="0" hierarchy="77" level="32767"/>
    <cacheField name="[Measures].[Sum of Adult CC beds occ]" caption="Sum of Adult CC beds occ" numFmtId="0" hierarchy="78" level="32767"/>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2" memberValueDatatype="5"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oneField="1">
      <fieldsUsage count="1">
        <fieldUsage x="2"/>
      </fieldsUsage>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oneField="1">
      <fieldsUsage count="1">
        <fieldUsage x="3"/>
      </fieldsUsage>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415509261" createdVersion="4" refreshedVersion="6" minRefreshableVersion="3" recordCount="0" supportSubquery="1" supportAdvancedDrill="1" xr:uid="{00000000-000A-0000-FFFF-FFFF0A010000}">
  <cacheSource type="external" connectionId="4"/>
  <cacheFields count="5">
    <cacheField name="[Winter daily sitreps].[Year].[Year]" caption="Year" numFmtId="0" hierarchy="62" level="1">
      <sharedItems containsSemiMixedTypes="0" containsString="0"/>
    </cacheField>
    <cacheField name="[Measures].[Sum of Adult CC beds avail]" caption="Sum of Adult CC beds avail" numFmtId="0" hierarchy="77" level="32767"/>
    <cacheField name="[Measures].[Sum of Adult CC beds occ]" caption="Sum of Adult CC beds occ" numFmtId="0" hierarchy="78" level="32767"/>
    <cacheField name="[Winter daily sitreps].[Week long].[Week long]" caption="Week long" numFmtId="0" hierarchy="68" level="1">
      <sharedItems count="13">
        <s v="Week 1"/>
        <s v="Week 10"/>
        <s v="Week 11"/>
        <s v="Week 12"/>
        <s v="Week 13"/>
        <s v="Week 2"/>
        <s v="Week 3"/>
        <s v="Week 4"/>
        <s v="Week 5"/>
        <s v="Week 6"/>
        <s v="Week 7"/>
        <s v="Week 8"/>
        <s v="Week 9"/>
      </sharedItems>
    </cacheField>
    <cacheField name="[Winter daily sitreps].[Region].[Region]" caption="Region" numFmtId="0" hierarchy="61" level="1">
      <sharedItems count="7">
        <s v="East Of England"/>
        <s v="London"/>
        <s v="Midlands"/>
        <s v="North East and Yorkshire"/>
        <s v="North West"/>
        <s v="South East"/>
        <s v="South West"/>
      </sharedItems>
    </cacheField>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4"/>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3"/>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oneField="1">
      <fieldsUsage count="1">
        <fieldUsage x="1"/>
      </fieldsUsage>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oneField="1">
      <fieldsUsage count="1">
        <fieldUsage x="2"/>
      </fieldsUsage>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371759262" createdVersion="4" refreshedVersion="6" minRefreshableVersion="3" recordCount="0" supportSubquery="1" supportAdvancedDrill="1" xr:uid="{00000000-000A-0000-FFFF-FFFF18010000}">
  <cacheSource type="external" connectionId="4"/>
  <cacheFields count="5">
    <cacheField name="[Winter daily sitreps].[Year].[Year]" caption="Year" numFmtId="0" hierarchy="62" level="1">
      <sharedItems containsSemiMixedTypes="0" containsString="0"/>
    </cacheField>
    <cacheField name="[Winter daily sitreps].[Name].[Name]" caption="Name" numFmtId="0" hierarchy="35" level="1">
      <sharedItems count="127">
        <s v="AIREDALE NHS FOUNDATION TRUST"/>
        <s v="ALDER HEY CHILDREN'S NHS FOUNDATION TRUST"/>
        <s v="ASHFORD AND ST. PETER'S HOSPITALS NHS FOUNDATION TRUST"/>
        <s v="BARKING, HAVERING AND REDBRIDGE UNIVERSITY HOSPITALS NHS TRUST"/>
        <s v="BARNSLEY HOSPITAL NHS FOUNDATION TRUST"/>
        <s v="BARTS HEALTH NHS TRUST"/>
        <s v="Bedfordshire Hospitals NHS Foundation Trust"/>
        <s v="BIRMINGHAM WOMEN'S AND CHILDREN'S NHS FOUNDATION TRUST"/>
        <s v="BLACKPOOL TEACHING HOSPITALS NHS FOUNDATION TRUST"/>
        <s v="BOLTON NHS FOUNDATION TRUST"/>
        <s v="BRADFORD TEACHING HOSPITALS NHS FOUNDATION TRUST"/>
        <s v="BRIGHTON AND SUSSEX UNIVERSITY HOSPITALS NHS TRUST"/>
        <s v="BUCKINGHAMSHIRE HEALTHCARE NHS TRUST"/>
        <s v="CALDERDALE AND HUDDERSFIELD NHS FOUNDATION TRUST"/>
        <s v="CAMBRIDGE UNIVERSITY HOSPITALS NHS FOUNDATION TRUST"/>
        <s v="CHELSEA AND WESTMINSTER HOSPITAL NHS FOUNDATION TRUST"/>
        <s v="CHESTERFIELD ROYAL HOSPITAL NHS FOUNDATION TRUST"/>
        <s v="COUNTESS OF CHESTER HOSPITAL NHS FOUNDATION TRUST"/>
        <s v="COUNTY DURHAM AND DARLINGTON NHS FOUNDATION TRUST"/>
        <s v="CROYDON HEALTH SERVICES NHS TRUST"/>
        <s v="DARTFORD AND GRAVESHAM NHS TRUST"/>
        <s v="DONCASTER AND BASSETLAW TEACHING HOSPITALS NHS FOUNDATION TRUST"/>
        <s v="DORSET COUNTY HOSPITAL NHS FOUNDATION TRUST"/>
        <s v="EAST AND NORTH HERTFORDSHIRE NHS TRUST"/>
        <s v="EAST CHESHIRE NHS TRUST"/>
        <s v="EAST KENT HOSPITALS UNIVERSITY NHS FOUNDATION TRUST"/>
        <s v="EAST LANCASHIRE HOSPITALS NHS TRUST"/>
        <s v="EAST SUFFOLK AND NORTH ESSEX NHS FOUNDATION TRUST"/>
        <s v="EAST SUSSEX HEALTHCARE NHS TRUST"/>
        <s v="EPSOM AND ST HELIER UNIVERSITY HOSPITALS NHS TRUST"/>
        <s v="FRIMLEY HEALTH NHS FOUNDATION TRUST"/>
        <s v="GATESHEAD HEALTH NHS FOUNDATION TRUST"/>
        <s v="GEORGE ELIOT HOSPITAL NHS TRUST"/>
        <s v="GLOUCESTERSHIRE HOSPITALS NHS FOUNDATION TRUST"/>
        <s v="GREAT WESTERN HOSPITALS NHS FOUNDATION TRUST"/>
        <s v="GUY'S AND ST THOMAS' NHS FOUNDATION TRUST"/>
        <s v="HAMPSHIRE HOSPITALS NHS FOUNDATION TRUST"/>
        <s v="HARROGATE AND DISTRICT NHS FOUNDATION TRUST"/>
        <s v="HOMERTON UNIVERSITY HOSPITAL NHS FOUNDATION TRUST"/>
        <s v="HULL UNIVERSITY TEACHING HOSPITALS NHS TRUST"/>
        <s v="IMPERIAL COLLEGE HEALTHCARE NHS TRUST"/>
        <s v="ISLE OF WIGHT NHS TRUST"/>
        <s v="JAMES PAGET UNIVERSITY HOSPITALS NHS FOUNDATION TRUST"/>
        <s v="KETTERING GENERAL HOSPITAL NHS FOUNDATION TRUST"/>
        <s v="KING'S COLLEGE HOSPITAL NHS FOUNDATION TRUST"/>
        <s v="KINGSTON HOSPITAL NHS FOUNDATION TRUST"/>
        <s v="LANCASHIRE TEACHING HOSPITALS NHS FOUNDATION TRUST"/>
        <s v="LEEDS TEACHING HOSPITALS NHS TRUST"/>
        <s v="LEWISHAM AND GREENWICH NHS TRUST"/>
        <s v="LIVERPOOL UNIVERSITY HOSPITALS NHS FOUNDATION TRUST"/>
        <s v="LONDON NORTH WEST UNIVERSITY HEALTHCARE NHS TRUST"/>
        <s v="MAIDSTONE AND TUNBRIDGE WELLS NHS TRUST"/>
        <s v="MANCHESTER UNIVERSITY NHS FOUNDATION TRUST"/>
        <s v="MEDWAY NHS FOUNDATION TRUST"/>
        <s v="MID AND SOUTH ESSEX NHS FOUNDATION TRUST"/>
        <s v="MID CHESHIRE HOSPITALS NHS FOUNDATION TRUST"/>
        <s v="MID YORKSHIRE HOSPITALS NHS TRUST"/>
        <s v="MILTON KEYNES UNIVERSITY HOSPITAL NHS FOUNDATION TRUST"/>
        <s v="NORFOLK AND NORWICH UNIVERSITY HOSPITALS NHS FOUNDATION TRUST"/>
        <s v="NORTH BRISTOL NHS TRUST"/>
        <s v="NORTH CUMBRIA INTEGRATED CARE NHS FOUNDATION TRUST"/>
        <s v="NORTH MIDDLESEX UNIVERSITY HOSPITAL NHS TRUST"/>
        <s v="NORTH TEES AND HARTLEPOOL NHS FOUNDATION TRUST"/>
        <s v="NORTH WEST ANGLIA NHS FOUNDATION TRUST"/>
        <s v="NORTHAMPTON GENERAL HOSPITAL NHS TRUST"/>
        <s v="NORTHERN DEVON HEALTHCARE NHS TRUST"/>
        <s v="NORTHERN LINCOLNSHIRE AND GOOLE NHS FOUNDATION TRUST"/>
        <s v="NORTHUMBRIA HEALTHCARE NHS FOUNDATION TRUST"/>
        <s v="NOTTINGHAM UNIVERSITY HOSPITALS NHS TRUST"/>
        <s v="OXFORD UNIVERSITY HOSPITALS NHS FOUNDATION TRUST"/>
        <s v="PENNINE ACUTE HOSPITALS NHS TRUST"/>
        <s v="PORTSMOUTH HOSPITALS UNIVERSITY NHS TRUST"/>
        <s v="ROYAL BERKSHIRE NHS FOUNDATION TRUST"/>
        <s v="ROYAL CORNWALL HOSPITALS NHS TRUST"/>
        <s v="ROYAL DEVON AND EXETER NHS FOUNDATION TRUST"/>
        <s v="ROYAL FREE LONDON NHS FOUNDATION TRUST"/>
        <s v="ROYAL SURREY NHS FOUNDATION TRUST"/>
        <s v="ROYAL UNITED HOSPITALS BATH NHS FOUNDATION TRUST"/>
        <s v="SALFORD ROYAL NHS FOUNDATION TRUST"/>
        <s v="SALISBURY NHS FOUNDATION TRUST"/>
        <s v="SANDWELL AND WEST BIRMINGHAM HOSPITALS NHS TRUST"/>
        <s v="SHEFFIELD CHILDREN'S NHS FOUNDATION TRUST"/>
        <s v="SHEFFIELD TEACHING HOSPITALS NHS FOUNDATION TRUST"/>
        <s v="SHERWOOD FOREST HOSPITALS NHS FOUNDATION TRUST"/>
        <s v="SHREWSBURY AND TELFORD HOSPITAL NHS TRUST"/>
        <s v="SOMERSET NHS FOUNDATION TRUST"/>
        <s v="SOUTH TEES HOSPITALS NHS FOUNDATION TRUST"/>
        <s v="SOUTH TYNESIDE AND SUNDERLAND NHS FOUNDATION TRUST"/>
        <s v="SOUTH WARWICKSHIRE NHS FOUNDATION TRUST"/>
        <s v="SOUTHPORT AND ORMSKIRK HOSPITAL NHS TRUST"/>
        <s v="ST GEORGE'S UNIVERSITY HOSPITALS NHS FOUNDATION TRUST"/>
        <s v="ST HELENS AND KNOWSLEY HOSPITALS NHS TRUST"/>
        <s v="STOCKPORT NHS FOUNDATION TRUST"/>
        <s v="SURREY AND SUSSEX HEALTHCARE NHS TRUST"/>
        <s v="TAMESIDE AND GLOSSOP INTEGRATED CARE NHS FOUNDATION TRUST"/>
        <s v="THE DUDLEY GROUP NHS FOUNDATION TRUST"/>
        <s v="THE HILLINGDON HOSPITALS NHS FOUNDATION TRUST"/>
        <s v="THE NEWCASTLE UPON TYNE HOSPITALS NHS FOUNDATION TRUST"/>
        <s v="THE PRINCESS ALEXANDRA HOSPITAL NHS TRUST"/>
        <s v="THE QUEEN ELIZABETH HOSPITAL KING'S LYNN NHS FOUNDATION TRUST"/>
        <s v="THE ROTHERHAM NHS FOUNDATION TRUST"/>
        <s v="THE ROYAL WOLVERHAMPTON NHS TRUST"/>
        <s v="TORBAY AND SOUTH DEVON NHS FOUNDATION TRUST"/>
        <s v="UNITED LINCOLNSHIRE HOSPITALS NHS TRUST"/>
        <s v="UNIVERSITY COLLEGE LONDON HOSPITALS NHS FOUNDATION TRUST"/>
        <s v="UNIVERSITY HOSPITAL SOUTHAMPTON NHS FOUNDATION TRUST"/>
        <s v="UNIVERSITY HOSPITALS BIRMINGHAM NHS FOUNDATION TRUST"/>
        <s v="University Hospitals Bristol and Weston NHS Foundation Trust"/>
        <s v="UNIVERSITY HOSPITALS COVENTRY AND WARWICKSHIRE NHS TRUST"/>
        <s v="UNIVERSITY HOSPITALS DORSET NHS FOUNDATION TRUST"/>
        <s v="UNIVERSITY HOSPITALS OF DERBY AND BURTON NHS FOUNDATION TRUST"/>
        <s v="UNIVERSITY HOSPITALS OF LEICESTER NHS TRUST"/>
        <s v="UNIVERSITY HOSPITALS OF MORECAMBE BAY NHS FOUNDATION TRUST"/>
        <s v="UNIVERSITY HOSPITALS OF NORTH MIDLANDS NHS TRUST"/>
        <s v="UNIVERSITY HOSPITALS PLYMOUTH NHS TRUST"/>
        <s v="WALSALL HEALTHCARE NHS TRUST"/>
        <s v="WARRINGTON AND HALTON TEACHING HOSPITALS NHS FOUNDATION TRUST"/>
        <s v="WEST HERTFORDSHIRE HOSPITALS NHS TRUST"/>
        <s v="WEST SUFFOLK NHS FOUNDATION TRUST"/>
        <s v="WESTERN SUSSEX HOSPITALS NHS FOUNDATION TRUST"/>
        <s v="WHITTINGTON HEALTH NHS TRUST"/>
        <s v="WIRRAL UNIVERSITY TEACHING HOSPITAL NHS FOUNDATION TRUST"/>
        <s v="WORCESTERSHIRE ACUTE HOSPITALS NHS TRUST"/>
        <s v="WRIGHTINGTON, WIGAN AND LEIGH NHS FOUNDATION TRUST"/>
        <s v="WYE VALLEY NHS TRUST"/>
        <s v="YEOVIL DISTRICT HOSPITAL NHS FOUNDATION TRUST"/>
        <s v="YORK TEACHING HOSPITAL NHS FOUNDATION TRUST"/>
      </sharedItems>
    </cacheField>
    <cacheField name="[Winter daily sitreps].[Day].[Day]" caption="Day" numFmtId="0" hierarchy="38" level="1">
      <sharedItems count="7">
        <s v="Friday"/>
        <s v="Monday"/>
        <s v="Saturday"/>
        <s v="Sunday"/>
        <s v="Thursday"/>
        <s v="Tuesday"/>
        <s v="Wednesday"/>
      </sharedItems>
    </cacheField>
    <cacheField name="[Winter daily sitreps].[Week long].[Week long]" caption="Week long" numFmtId="0" hierarchy="68" level="1">
      <sharedItems count="13">
        <s v="Week 1"/>
        <s v="Week 10"/>
        <s v="Week 11"/>
        <s v="Week 12"/>
        <s v="Week 13"/>
        <s v="Week 2"/>
        <s v="Week 3"/>
        <s v="Week 4"/>
        <s v="Week 5"/>
        <s v="Week 6"/>
        <s v="Week 7"/>
        <s v="Week 8"/>
        <s v="Week 9"/>
      </sharedItems>
    </cacheField>
    <cacheField name="[Measures].[Average of GA bed occupancy]" caption="Average of GA bed occupancy" numFmtId="0" hierarchy="83" level="32767"/>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2" memberValueDatatype="130" unbalanced="0">
      <fieldsUsage count="2">
        <fieldUsage x="-1"/>
        <fieldUsage x="1"/>
      </fieldsUsage>
    </cacheHierarchy>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2" memberValueDatatype="130" unbalanced="0">
      <fieldsUsage count="2">
        <fieldUsage x="-1"/>
        <fieldUsage x="2"/>
      </fieldsUsage>
    </cacheHierarchy>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3"/>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oneField="1">
      <fieldsUsage count="1">
        <fieldUsage x="4"/>
      </fieldsUsage>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417129631" createdVersion="4" refreshedVersion="6" minRefreshableVersion="3" recordCount="0" supportSubquery="1" supportAdvancedDrill="1" xr:uid="{00000000-000A-0000-FFFF-FFFF23010000}">
  <cacheSource type="external" connectionId="4"/>
  <cacheFields count="4">
    <cacheField name="[Winter daily sitreps].[Year].[Year]" caption="Year" numFmtId="0" hierarchy="62" level="1">
      <sharedItems containsSemiMixedTypes="0" containsString="0"/>
    </cacheField>
    <cacheField name="[Winter daily sitreps].[Week].[Week]" caption="Week" numFmtId="0" hierarchy="37" level="1">
      <sharedItems containsSemiMixedTypes="0" containsString="0" containsNumber="1" containsInteger="1" minValue="1" maxValue="13" count="13">
        <n v="1"/>
        <n v="2"/>
        <n v="3"/>
        <n v="4"/>
        <n v="5"/>
        <n v="6"/>
        <n v="7"/>
        <n v="8"/>
        <n v="9"/>
        <n v="10"/>
        <n v="11"/>
        <n v="12"/>
        <n v="13"/>
      </sharedItems>
    </cacheField>
    <cacheField name="[Measures].[Sum of Neo Int Care Avail]" caption="Sum of Neo Int Care Avail" numFmtId="0" hierarchy="81" level="32767"/>
    <cacheField name="[Measures].[Sum of Neo Int Care occ]" caption="Sum of Neo Int Care occ" numFmtId="0" hierarchy="82" level="32767"/>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2" memberValueDatatype="5"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oneField="1">
      <fieldsUsage count="1">
        <fieldUsage x="2"/>
      </fieldsUsage>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oneField="1">
      <fieldsUsage count="1">
        <fieldUsage x="3"/>
      </fieldsUsage>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418634263" createdVersion="4" refreshedVersion="6" minRefreshableVersion="3" recordCount="0" supportSubquery="1" supportAdvancedDrill="1" xr:uid="{00000000-000A-0000-FFFF-FFFF0D010000}">
  <cacheSource type="external" connectionId="4"/>
  <cacheFields count="5">
    <cacheField name="[Winter daily sitreps].[Year].[Year]" caption="Year" numFmtId="0" hierarchy="62" level="1">
      <sharedItems containsSemiMixedTypes="0" containsString="0"/>
    </cacheField>
    <cacheField name="[Winter daily sitreps].[Week long].[Week long]" caption="Week long" numFmtId="0" hierarchy="68" level="1">
      <sharedItems count="13">
        <s v="Week 1"/>
        <s v="Week 10"/>
        <s v="Week 11"/>
        <s v="Week 12"/>
        <s v="Week 13"/>
        <s v="Week 2"/>
        <s v="Week 3"/>
        <s v="Week 4"/>
        <s v="Week 5"/>
        <s v="Week 6"/>
        <s v="Week 7"/>
        <s v="Week 8"/>
        <s v="Week 9"/>
      </sharedItems>
    </cacheField>
    <cacheField name="[Winter daily sitreps].[Region].[Region]" caption="Region" numFmtId="0" hierarchy="61" level="1">
      <sharedItems count="7">
        <s v="East Of England"/>
        <s v="London"/>
        <s v="Midlands"/>
        <s v="North East and Yorkshire"/>
        <s v="North West"/>
        <s v="South East"/>
        <s v="South West"/>
      </sharedItems>
    </cacheField>
    <cacheField name="[Measures].[Sum of Neo Int Care Avail]" caption="Sum of Neo Int Care Avail" numFmtId="0" hierarchy="81" level="32767"/>
    <cacheField name="[Measures].[Sum of Neo Int Care occ]" caption="Sum of Neo Int Care occ" numFmtId="0" hierarchy="82" level="32767"/>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2"/>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1"/>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oneField="1">
      <fieldsUsage count="1">
        <fieldUsage x="3"/>
      </fieldsUsage>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oneField="1">
      <fieldsUsage count="1">
        <fieldUsage x="4"/>
      </fieldsUsage>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420370372" createdVersion="4" refreshedVersion="6" minRefreshableVersion="3" recordCount="0" supportSubquery="1" supportAdvancedDrill="1" xr:uid="{00000000-000A-0000-FFFF-FFFF24010000}">
  <cacheSource type="external" connectionId="4"/>
  <cacheFields count="4">
    <cacheField name="[Winter daily sitreps].[Year].[Year]" caption="Year" numFmtId="0" hierarchy="62" level="1">
      <sharedItems containsSemiMixedTypes="0" containsString="0"/>
    </cacheField>
    <cacheField name="[Winter daily sitreps].[Week].[Week]" caption="Week" numFmtId="0" hierarchy="37" level="1">
      <sharedItems containsSemiMixedTypes="0" containsString="0" containsNumber="1" containsInteger="1" minValue="1" maxValue="13" count="13">
        <n v="1"/>
        <n v="2"/>
        <n v="3"/>
        <n v="4"/>
        <n v="5"/>
        <n v="6"/>
        <n v="7"/>
        <n v="8"/>
        <n v="9"/>
        <n v="10"/>
        <n v="11"/>
        <n v="12"/>
        <n v="13"/>
      </sharedItems>
    </cacheField>
    <cacheField name="[Measures].[Sum of Neo Int Care Avail]" caption="Sum of Neo Int Care Avail" numFmtId="0" hierarchy="81" level="32767"/>
    <cacheField name="[Measures].[Sum of Neo Int Care occ]" caption="Sum of Neo Int Care occ" numFmtId="0" hierarchy="82" level="32767"/>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2" memberValueDatatype="5"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oneField="1">
      <fieldsUsage count="1">
        <fieldUsage x="2"/>
      </fieldsUsage>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oneField="1">
      <fieldsUsage count="1">
        <fieldUsage x="3"/>
      </fieldsUsage>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421875003" createdVersion="4" refreshedVersion="6" minRefreshableVersion="3" recordCount="0" supportSubquery="1" supportAdvancedDrill="1" xr:uid="{00000000-000A-0000-FFFF-FFFF0E010000}">
  <cacheSource type="external" connectionId="4"/>
  <cacheFields count="5">
    <cacheField name="[Winter daily sitreps].[Year].[Year]" caption="Year" numFmtId="0" hierarchy="62" level="1">
      <sharedItems containsSemiMixedTypes="0" containsString="0"/>
    </cacheField>
    <cacheField name="[Winter daily sitreps].[Week long].[Week long]" caption="Week long" numFmtId="0" hierarchy="68" level="1">
      <sharedItems count="13">
        <s v="Week 1"/>
        <s v="Week 10"/>
        <s v="Week 11"/>
        <s v="Week 12"/>
        <s v="Week 13"/>
        <s v="Week 2"/>
        <s v="Week 3"/>
        <s v="Week 4"/>
        <s v="Week 5"/>
        <s v="Week 6"/>
        <s v="Week 7"/>
        <s v="Week 8"/>
        <s v="Week 9"/>
      </sharedItems>
    </cacheField>
    <cacheField name="[Winter daily sitreps].[Region].[Region]" caption="Region" numFmtId="0" hierarchy="61" level="1">
      <sharedItems count="7">
        <s v="East Of England"/>
        <s v="London"/>
        <s v="Midlands"/>
        <s v="North East and Yorkshire"/>
        <s v="North West"/>
        <s v="South East"/>
        <s v="South West"/>
      </sharedItems>
    </cacheField>
    <cacheField name="[Measures].[Sum of Neo Int Care Avail]" caption="Sum of Neo Int Care Avail" numFmtId="0" hierarchy="81" level="32767"/>
    <cacheField name="[Measures].[Sum of Neo Int Care occ]" caption="Sum of Neo Int Care occ" numFmtId="0" hierarchy="82" level="32767"/>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2"/>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1"/>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oneField="1">
      <fieldsUsage count="1">
        <fieldUsage x="3"/>
      </fieldsUsage>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oneField="1">
      <fieldsUsage count="1">
        <fieldUsage x="4"/>
      </fieldsUsage>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423958335" createdVersion="4" refreshedVersion="6" minRefreshableVersion="3" recordCount="0" supportSubquery="1" supportAdvancedDrill="1" xr:uid="{00000000-000A-0000-FFFF-FFFF0F010000}">
  <cacheSource type="external" connectionId="4"/>
  <cacheFields count="4">
    <cacheField name="[Winter daily sitreps].[Year].[Year]" caption="Year" numFmtId="0" hierarchy="62" level="1">
      <sharedItems containsSemiMixedTypes="0" containsString="0"/>
    </cacheField>
    <cacheField name="[Winter daily sitreps].[Week long].[Week long]" caption="Week long" numFmtId="0" hierarchy="68" level="1">
      <sharedItems count="13">
        <s v="Week 1"/>
        <s v="Week 10"/>
        <s v="Week 11"/>
        <s v="Week 12"/>
        <s v="Week 13"/>
        <s v="Week 2"/>
        <s v="Week 3"/>
        <s v="Week 4"/>
        <s v="Week 5"/>
        <s v="Week 6"/>
        <s v="Week 7"/>
        <s v="Week 8"/>
        <s v="Week 9"/>
      </sharedItems>
    </cacheField>
    <cacheField name="[Measures].[Sum of Amb arrivals]" caption="Sum of Amb arrivals" numFmtId="0" hierarchy="96" level="32767"/>
    <cacheField name="[Winter daily sitreps].[Region].[Region]" caption="Region" numFmtId="0" hierarchy="61" level="1">
      <sharedItems count="7">
        <s v="East Of England"/>
        <s v="London"/>
        <s v="Midlands"/>
        <s v="North East and Yorkshire"/>
        <s v="North West"/>
        <s v="South East"/>
        <s v="South West"/>
      </sharedItems>
    </cacheField>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3"/>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1"/>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oneField="1" hidden="1">
      <fieldsUsage count="1">
        <fieldUsage x="2"/>
      </fieldsUsage>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425810183" createdVersion="4" refreshedVersion="6" minRefreshableVersion="3" recordCount="0" supportSubquery="1" supportAdvancedDrill="1" xr:uid="{00000000-000A-0000-FFFF-FFFF10010000}">
  <cacheSource type="external" connectionId="4"/>
  <cacheFields count="6">
    <cacheField name="[Winter daily sitreps].[Year].[Year]" caption="Year" numFmtId="0" hierarchy="62" level="1">
      <sharedItems containsSemiMixedTypes="0" containsString="0"/>
    </cacheField>
    <cacheField name="[Winter daily sitreps].[Week long].[Week long]" caption="Week long" numFmtId="0" hierarchy="68" level="1">
      <sharedItems count="13">
        <s v="Week 1"/>
        <s v="Week 10"/>
        <s v="Week 11"/>
        <s v="Week 12"/>
        <s v="Week 13"/>
        <s v="Week 2"/>
        <s v="Week 3"/>
        <s v="Week 4"/>
        <s v="Week 5"/>
        <s v="Week 6"/>
        <s v="Week 7"/>
        <s v="Week 8"/>
        <s v="Week 9"/>
      </sharedItems>
    </cacheField>
    <cacheField name="[Winter daily sitreps].[Region].[Region]" caption="Region" numFmtId="0" hierarchy="61" level="1">
      <sharedItems count="7">
        <s v="East Of England"/>
        <s v="London"/>
        <s v="Midlands"/>
        <s v="North East and Yorkshire"/>
        <s v="North West"/>
        <s v="South East"/>
        <s v="South West"/>
      </sharedItems>
    </cacheField>
    <cacheField name="[Measures].[Sum of Amb delays 30-60 mins]" caption="Sum of Amb delays 30-60 mins" numFmtId="0" hierarchy="97" level="32767"/>
    <cacheField name="[Measures].[Sum of Amb delays over 60 mins]" caption="Sum of Amb delays over 60 mins" numFmtId="0" hierarchy="76" level="32767"/>
    <cacheField name="[Measures].[Sum of Amb arrivals]" caption="Sum of Amb arrivals" numFmtId="0" hierarchy="96" level="32767"/>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2"/>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1"/>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oneField="1">
      <fieldsUsage count="1">
        <fieldUsage x="4"/>
      </fieldsUsage>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oneField="1" hidden="1">
      <fieldsUsage count="1">
        <fieldUsage x="5"/>
      </fieldsUsage>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oneField="1" hidden="1">
      <fieldsUsage count="1">
        <fieldUsage x="3"/>
      </fieldsUsage>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428819446" createdVersion="4" refreshedVersion="6" minRefreshableVersion="3" recordCount="0" supportSubquery="1" supportAdvancedDrill="1" xr:uid="{00000000-000A-0000-FFFF-FFFF27010000}">
  <cacheSource type="external" connectionId="4"/>
  <cacheFields count="4">
    <cacheField name="[Winter daily sitreps].[Year].[Year]" caption="Year" numFmtId="0" hierarchy="62" level="1">
      <sharedItems containsSemiMixedTypes="0" containsString="0"/>
    </cacheField>
    <cacheField name="[Winter daily sitreps].[Week long].[Week long]" caption="Week long" numFmtId="0" hierarchy="68" level="1">
      <sharedItems count="13">
        <s v="Week 1"/>
        <s v="Week 10"/>
        <s v="Week 11"/>
        <s v="Week 12"/>
        <s v="Week 13"/>
        <s v="Week 2"/>
        <s v="Week 3"/>
        <s v="Week 4"/>
        <s v="Week 5"/>
        <s v="Week 6"/>
        <s v="Week 7"/>
        <s v="Week 8"/>
        <s v="Week 9"/>
      </sharedItems>
    </cacheField>
    <cacheField name="[Winter daily sitreps].[Name].[Name]" caption="Name" numFmtId="0" hierarchy="35" level="1">
      <sharedItems count="127">
        <s v="AIREDALE NHS FOUNDATION TRUST"/>
        <s v="ALDER HEY CHILDREN'S NHS FOUNDATION TRUST"/>
        <s v="ASHFORD AND ST. PETER'S HOSPITALS NHS FOUNDATION TRUST"/>
        <s v="BARKING, HAVERING AND REDBRIDGE UNIVERSITY HOSPITALS NHS TRUST"/>
        <s v="BARNSLEY HOSPITAL NHS FOUNDATION TRUST"/>
        <s v="BARTS HEALTH NHS TRUST"/>
        <s v="Bedfordshire Hospitals NHS Foundation Trust"/>
        <s v="BIRMINGHAM WOMEN'S AND CHILDREN'S NHS FOUNDATION TRUST"/>
        <s v="BLACKPOOL TEACHING HOSPITALS NHS FOUNDATION TRUST"/>
        <s v="BOLTON NHS FOUNDATION TRUST"/>
        <s v="BRADFORD TEACHING HOSPITALS NHS FOUNDATION TRUST"/>
        <s v="BRIGHTON AND SUSSEX UNIVERSITY HOSPITALS NHS TRUST"/>
        <s v="BUCKINGHAMSHIRE HEALTHCARE NHS TRUST"/>
        <s v="CALDERDALE AND HUDDERSFIELD NHS FOUNDATION TRUST"/>
        <s v="CAMBRIDGE UNIVERSITY HOSPITALS NHS FOUNDATION TRUST"/>
        <s v="CHELSEA AND WESTMINSTER HOSPITAL NHS FOUNDATION TRUST"/>
        <s v="CHESTERFIELD ROYAL HOSPITAL NHS FOUNDATION TRUST"/>
        <s v="COUNTESS OF CHESTER HOSPITAL NHS FOUNDATION TRUST"/>
        <s v="COUNTY DURHAM AND DARLINGTON NHS FOUNDATION TRUST"/>
        <s v="CROYDON HEALTH SERVICES NHS TRUST"/>
        <s v="DARTFORD AND GRAVESHAM NHS TRUST"/>
        <s v="DONCASTER AND BASSETLAW TEACHING HOSPITALS NHS FOUNDATION TRUST"/>
        <s v="DORSET COUNTY HOSPITAL NHS FOUNDATION TRUST"/>
        <s v="EAST AND NORTH HERTFORDSHIRE NHS TRUST"/>
        <s v="EAST CHESHIRE NHS TRUST"/>
        <s v="EAST KENT HOSPITALS UNIVERSITY NHS FOUNDATION TRUST"/>
        <s v="EAST LANCASHIRE HOSPITALS NHS TRUST"/>
        <s v="EAST SUFFOLK AND NORTH ESSEX NHS FOUNDATION TRUST"/>
        <s v="EAST SUSSEX HEALTHCARE NHS TRUST"/>
        <s v="EPSOM AND ST HELIER UNIVERSITY HOSPITALS NHS TRUST"/>
        <s v="FRIMLEY HEALTH NHS FOUNDATION TRUST"/>
        <s v="GATESHEAD HEALTH NHS FOUNDATION TRUST"/>
        <s v="GEORGE ELIOT HOSPITAL NHS TRUST"/>
        <s v="GLOUCESTERSHIRE HOSPITALS NHS FOUNDATION TRUST"/>
        <s v="GREAT WESTERN HOSPITALS NHS FOUNDATION TRUST"/>
        <s v="GUY'S AND ST THOMAS' NHS FOUNDATION TRUST"/>
        <s v="HAMPSHIRE HOSPITALS NHS FOUNDATION TRUST"/>
        <s v="HARROGATE AND DISTRICT NHS FOUNDATION TRUST"/>
        <s v="HOMERTON UNIVERSITY HOSPITAL NHS FOUNDATION TRUST"/>
        <s v="HULL UNIVERSITY TEACHING HOSPITALS NHS TRUST"/>
        <s v="IMPERIAL COLLEGE HEALTHCARE NHS TRUST"/>
        <s v="ISLE OF WIGHT NHS TRUST"/>
        <s v="JAMES PAGET UNIVERSITY HOSPITALS NHS FOUNDATION TRUST"/>
        <s v="KETTERING GENERAL HOSPITAL NHS FOUNDATION TRUST"/>
        <s v="KING'S COLLEGE HOSPITAL NHS FOUNDATION TRUST"/>
        <s v="KINGSTON HOSPITAL NHS FOUNDATION TRUST"/>
        <s v="LANCASHIRE TEACHING HOSPITALS NHS FOUNDATION TRUST"/>
        <s v="LEEDS TEACHING HOSPITALS NHS TRUST"/>
        <s v="LEWISHAM AND GREENWICH NHS TRUST"/>
        <s v="LIVERPOOL UNIVERSITY HOSPITALS NHS FOUNDATION TRUST"/>
        <s v="LONDON NORTH WEST UNIVERSITY HEALTHCARE NHS TRUST"/>
        <s v="MAIDSTONE AND TUNBRIDGE WELLS NHS TRUST"/>
        <s v="MANCHESTER UNIVERSITY NHS FOUNDATION TRUST"/>
        <s v="MEDWAY NHS FOUNDATION TRUST"/>
        <s v="MID AND SOUTH ESSEX NHS FOUNDATION TRUST"/>
        <s v="MID CHESHIRE HOSPITALS NHS FOUNDATION TRUST"/>
        <s v="MID YORKSHIRE HOSPITALS NHS TRUST"/>
        <s v="MILTON KEYNES UNIVERSITY HOSPITAL NHS FOUNDATION TRUST"/>
        <s v="NORFOLK AND NORWICH UNIVERSITY HOSPITALS NHS FOUNDATION TRUST"/>
        <s v="NORTH BRISTOL NHS TRUST"/>
        <s v="NORTH CUMBRIA INTEGRATED CARE NHS FOUNDATION TRUST"/>
        <s v="NORTH MIDDLESEX UNIVERSITY HOSPITAL NHS TRUST"/>
        <s v="NORTH TEES AND HARTLEPOOL NHS FOUNDATION TRUST"/>
        <s v="NORTH WEST ANGLIA NHS FOUNDATION TRUST"/>
        <s v="NORTHAMPTON GENERAL HOSPITAL NHS TRUST"/>
        <s v="NORTHERN DEVON HEALTHCARE NHS TRUST"/>
        <s v="NORTHERN LINCOLNSHIRE AND GOOLE NHS FOUNDATION TRUST"/>
        <s v="NORTHUMBRIA HEALTHCARE NHS FOUNDATION TRUST"/>
        <s v="NOTTINGHAM UNIVERSITY HOSPITALS NHS TRUST"/>
        <s v="OXFORD UNIVERSITY HOSPITALS NHS FOUNDATION TRUST"/>
        <s v="PENNINE ACUTE HOSPITALS NHS TRUST"/>
        <s v="PORTSMOUTH HOSPITALS UNIVERSITY NHS TRUST"/>
        <s v="ROYAL BERKSHIRE NHS FOUNDATION TRUST"/>
        <s v="ROYAL CORNWALL HOSPITALS NHS TRUST"/>
        <s v="ROYAL DEVON AND EXETER NHS FOUNDATION TRUST"/>
        <s v="ROYAL FREE LONDON NHS FOUNDATION TRUST"/>
        <s v="ROYAL SURREY NHS FOUNDATION TRUST"/>
        <s v="ROYAL UNITED HOSPITALS BATH NHS FOUNDATION TRUST"/>
        <s v="SALFORD ROYAL NHS FOUNDATION TRUST"/>
        <s v="SALISBURY NHS FOUNDATION TRUST"/>
        <s v="SANDWELL AND WEST BIRMINGHAM HOSPITALS NHS TRUST"/>
        <s v="SHEFFIELD CHILDREN'S NHS FOUNDATION TRUST"/>
        <s v="SHEFFIELD TEACHING HOSPITALS NHS FOUNDATION TRUST"/>
        <s v="SHERWOOD FOREST HOSPITALS NHS FOUNDATION TRUST"/>
        <s v="SHREWSBURY AND TELFORD HOSPITAL NHS TRUST"/>
        <s v="SOMERSET NHS FOUNDATION TRUST"/>
        <s v="SOUTH TEES HOSPITALS NHS FOUNDATION TRUST"/>
        <s v="SOUTH TYNESIDE AND SUNDERLAND NHS FOUNDATION TRUST"/>
        <s v="SOUTH WARWICKSHIRE NHS FOUNDATION TRUST"/>
        <s v="SOUTHPORT AND ORMSKIRK HOSPITAL NHS TRUST"/>
        <s v="ST GEORGE'S UNIVERSITY HOSPITALS NHS FOUNDATION TRUST"/>
        <s v="ST HELENS AND KNOWSLEY HOSPITALS NHS TRUST"/>
        <s v="STOCKPORT NHS FOUNDATION TRUST"/>
        <s v="SURREY AND SUSSEX HEALTHCARE NHS TRUST"/>
        <s v="TAMESIDE AND GLOSSOP INTEGRATED CARE NHS FOUNDATION TRUST"/>
        <s v="THE DUDLEY GROUP NHS FOUNDATION TRUST"/>
        <s v="THE HILLINGDON HOSPITALS NHS FOUNDATION TRUST"/>
        <s v="THE NEWCASTLE UPON TYNE HOSPITALS NHS FOUNDATION TRUST"/>
        <s v="THE PRINCESS ALEXANDRA HOSPITAL NHS TRUST"/>
        <s v="THE QUEEN ELIZABETH HOSPITAL KING'S LYNN NHS FOUNDATION TRUST"/>
        <s v="THE ROTHERHAM NHS FOUNDATION TRUST"/>
        <s v="THE ROYAL WOLVERHAMPTON NHS TRUST"/>
        <s v="TORBAY AND SOUTH DEVON NHS FOUNDATION TRUST"/>
        <s v="UNITED LINCOLNSHIRE HOSPITALS NHS TRUST"/>
        <s v="UNIVERSITY COLLEGE LONDON HOSPITALS NHS FOUNDATION TRUST"/>
        <s v="UNIVERSITY HOSPITAL SOUTHAMPTON NHS FOUNDATION TRUST"/>
        <s v="UNIVERSITY HOSPITALS BIRMINGHAM NHS FOUNDATION TRUST"/>
        <s v="University Hospitals Bristol and Weston NHS Foundation Trust"/>
        <s v="UNIVERSITY HOSPITALS COVENTRY AND WARWICKSHIRE NHS TRUST"/>
        <s v="UNIVERSITY HOSPITALS DORSET NHS FOUNDATION TRUST"/>
        <s v="UNIVERSITY HOSPITALS OF DERBY AND BURTON NHS FOUNDATION TRUST"/>
        <s v="UNIVERSITY HOSPITALS OF LEICESTER NHS TRUST"/>
        <s v="UNIVERSITY HOSPITALS OF MORECAMBE BAY NHS FOUNDATION TRUST"/>
        <s v="UNIVERSITY HOSPITALS OF NORTH MIDLANDS NHS TRUST"/>
        <s v="UNIVERSITY HOSPITALS PLYMOUTH NHS TRUST"/>
        <s v="WALSALL HEALTHCARE NHS TRUST"/>
        <s v="WARRINGTON AND HALTON TEACHING HOSPITALS NHS FOUNDATION TRUST"/>
        <s v="WEST HERTFORDSHIRE HOSPITALS NHS TRUST"/>
        <s v="WEST SUFFOLK NHS FOUNDATION TRUST"/>
        <s v="WESTERN SUSSEX HOSPITALS NHS FOUNDATION TRUST"/>
        <s v="WHITTINGTON HEALTH NHS TRUST"/>
        <s v="WIRRAL UNIVERSITY TEACHING HOSPITAL NHS FOUNDATION TRUST"/>
        <s v="WORCESTERSHIRE ACUTE HOSPITALS NHS TRUST"/>
        <s v="WRIGHTINGTON, WIGAN AND LEIGH NHS FOUNDATION TRUST"/>
        <s v="WYE VALLEY NHS TRUST"/>
        <s v="YEOVIL DISTRICT HOSPITAL NHS FOUNDATION TRUST"/>
        <s v="YORK TEACHING HOSPITAL NHS FOUNDATION TRUST"/>
      </sharedItems>
    </cacheField>
    <cacheField name="[Measures].[Sum of Amb delays over 60 mins]" caption="Sum of Amb delays over 60 mins" numFmtId="0" hierarchy="76" level="32767"/>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2" memberValueDatatype="130" unbalanced="0">
      <fieldsUsage count="2">
        <fieldUsage x="-1"/>
        <fieldUsage x="2"/>
      </fieldsUsage>
    </cacheHierarchy>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1"/>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oneField="1">
      <fieldsUsage count="1">
        <fieldUsage x="3"/>
      </fieldsUsage>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430555555" createdVersion="4" refreshedVersion="6" minRefreshableVersion="3" recordCount="0" supportSubquery="1" supportAdvancedDrill="1" xr:uid="{00000000-000A-0000-FFFF-FFFF16010000}">
  <cacheSource type="external" connectionId="4"/>
  <cacheFields count="5">
    <cacheField name="[Winter daily sitreps].[Year].[Year]" caption="Year" numFmtId="0" hierarchy="62" level="1">
      <sharedItems containsSemiMixedTypes="0" containsString="0"/>
    </cacheField>
    <cacheField name="[Measures].[Sum of GA core beds avail]" caption="Sum of GA core beds avail" numFmtId="0" hierarchy="84" level="32767"/>
    <cacheField name="[Measures].[Sum of GA escalation beds avail]" caption="Sum of GA escalation beds avail" numFmtId="0" hierarchy="85" level="32767"/>
    <cacheField name="[Measures].[Sum of GA total beds avail]" caption="Sum of GA total beds avail" numFmtId="0" hierarchy="72" level="32767"/>
    <cacheField name="[Winter daily sitreps].[Date].[Date]" caption="Date" numFmtId="0" hierarchy="36" level="1">
      <sharedItems containsSemiMixedTypes="0" containsNonDate="0" containsDate="1" containsString="0" minDate="2020-11-30T00:00:00" maxDate="2021-03-01T00:00:00" count="91">
        <d v="2020-11-30T00:00:00"/>
        <d v="2020-12-01T00:00:00"/>
        <d v="2020-12-02T00:00:00"/>
        <d v="2020-12-03T00:00:00"/>
        <d v="2020-12-04T00:00:00"/>
        <d v="2020-12-05T00:00:00"/>
        <d v="2020-12-06T00:00:00"/>
        <d v="2020-12-07T00:00:00"/>
        <d v="2020-12-08T00:00:00"/>
        <d v="2020-12-09T00:00:00"/>
        <d v="2020-12-10T00:00:00"/>
        <d v="2020-12-11T00:00:00"/>
        <d v="2020-12-12T00:00:00"/>
        <d v="2020-12-13T00:00:00"/>
        <d v="2020-12-14T00:00:00"/>
        <d v="2020-12-15T00:00:00"/>
        <d v="2020-12-16T00:00:00"/>
        <d v="2020-12-17T00:00:00"/>
        <d v="2020-12-18T00:00:00"/>
        <d v="2020-12-19T00:00:00"/>
        <d v="2020-12-20T00:00:00"/>
        <d v="2020-12-21T00:00:00"/>
        <d v="2020-12-22T00:00:00"/>
        <d v="2020-12-23T00:00:00"/>
        <d v="2020-12-24T00:00:00"/>
        <d v="2020-12-25T00:00:00"/>
        <d v="2020-12-26T00:00:00"/>
        <d v="2020-12-27T00:00:00"/>
        <d v="2020-12-28T00:00:00"/>
        <d v="2020-12-29T00:00:00"/>
        <d v="2020-12-30T00:00:00"/>
        <d v="2020-12-31T00:00:00"/>
        <d v="2021-01-01T00:00:00"/>
        <d v="2021-01-02T00:00:00"/>
        <d v="2021-01-03T00:00:00"/>
        <d v="2021-01-04T00:00:00"/>
        <d v="2021-01-05T00:00:00"/>
        <d v="2021-01-06T00:00:00"/>
        <d v="2021-01-07T00:00:00"/>
        <d v="2021-01-08T00:00:00"/>
        <d v="2021-01-09T00:00:00"/>
        <d v="2021-01-10T00:00:00"/>
        <d v="2021-01-11T00:00:00"/>
        <d v="2021-01-12T00:00:00"/>
        <d v="2021-01-13T00:00:00"/>
        <d v="2021-01-14T00:00:00"/>
        <d v="2021-01-15T00:00:00"/>
        <d v="2021-01-16T00:00:00"/>
        <d v="2021-01-17T00:00:00"/>
        <d v="2021-01-18T00:00:00"/>
        <d v="2021-01-19T00:00:00"/>
        <d v="2021-01-20T00:00:00"/>
        <d v="2021-01-21T00:00:00"/>
        <d v="2021-01-22T00:00:00"/>
        <d v="2021-01-23T00:00:00"/>
        <d v="2021-01-24T00:00:00"/>
        <d v="2021-01-25T00:00:00"/>
        <d v="2021-01-26T00:00:00"/>
        <d v="2021-01-27T00:00:00"/>
        <d v="2021-01-28T00:00:00"/>
        <d v="2021-01-29T00:00:00"/>
        <d v="2021-01-30T00:00:00"/>
        <d v="2021-01-31T00:00:00"/>
        <d v="2021-02-01T00:00:00"/>
        <d v="2021-02-02T00:00:00"/>
        <d v="2021-02-03T00:00:00"/>
        <d v="2021-02-04T00:00:00"/>
        <d v="2021-02-05T00:00:00"/>
        <d v="2021-02-06T00:00:00"/>
        <d v="2021-02-07T00:00:00"/>
        <d v="2021-02-08T00:00:00"/>
        <d v="2021-02-09T00:00:00"/>
        <d v="2021-02-10T00:00:00"/>
        <d v="2021-02-11T00:00:00"/>
        <d v="2021-02-12T00:00:00"/>
        <d v="2021-02-13T00:00:00"/>
        <d v="2021-02-14T00:00:00"/>
        <d v="2021-02-15T00:00:00"/>
        <d v="2021-02-16T00:00:00"/>
        <d v="2021-02-17T00:00:00"/>
        <d v="2021-02-18T00:00:00"/>
        <d v="2021-02-19T00:00:00"/>
        <d v="2021-02-20T00:00:00"/>
        <d v="2021-02-21T00:00:00"/>
        <d v="2021-02-22T00:00:00"/>
        <d v="2021-02-23T00:00:00"/>
        <d v="2021-02-24T00:00:00"/>
        <d v="2021-02-25T00:00:00"/>
        <d v="2021-02-26T00:00:00"/>
        <d v="2021-02-27T00:00:00"/>
        <d v="2021-02-28T00:00:00"/>
      </sharedItems>
    </cacheField>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2" memberValueDatatype="7"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oneField="1">
      <fieldsUsage count="1">
        <fieldUsage x="3"/>
      </fieldsUsage>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oneField="1">
      <fieldsUsage count="1">
        <fieldUsage x="1"/>
      </fieldsUsage>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oneField="1">
      <fieldsUsage count="1">
        <fieldUsage x="2"/>
      </fieldsUsage>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431944441" createdVersion="4" refreshedVersion="6" minRefreshableVersion="3" recordCount="0" supportSubquery="1" supportAdvancedDrill="1" xr:uid="{288478C2-EECE-422F-B758-81F197B6CC0B}">
  <cacheSource type="external" connectionId="4"/>
  <cacheFields count="4">
    <cacheField name="[Winter daily sitreps].[Year].[Year]" caption="Year" numFmtId="0" hierarchy="62" level="1">
      <sharedItems containsSemiMixedTypes="0" containsString="0"/>
    </cacheField>
    <cacheField name="[Winter daily sitreps].[Date].[Date]" caption="Date" numFmtId="0" hierarchy="36" level="1">
      <sharedItems containsSemiMixedTypes="0" containsNonDate="0" containsDate="1" containsString="0" minDate="2020-11-30T00:00:00" maxDate="2021-03-01T00:00:00" count="91">
        <d v="2020-11-30T00:00:00"/>
        <d v="2020-12-01T00:00:00"/>
        <d v="2020-12-02T00:00:00"/>
        <d v="2020-12-03T00:00:00"/>
        <d v="2020-12-04T00:00:00"/>
        <d v="2020-12-05T00:00:00"/>
        <d v="2020-12-06T00:00:00"/>
        <d v="2020-12-07T00:00:00"/>
        <d v="2020-12-08T00:00:00"/>
        <d v="2020-12-09T00:00:00"/>
        <d v="2020-12-10T00:00:00"/>
        <d v="2020-12-11T00:00:00"/>
        <d v="2020-12-12T00:00:00"/>
        <d v="2020-12-13T00:00:00"/>
        <d v="2020-12-14T00:00:00"/>
        <d v="2020-12-15T00:00:00"/>
        <d v="2020-12-16T00:00:00"/>
        <d v="2020-12-17T00:00:00"/>
        <d v="2020-12-18T00:00:00"/>
        <d v="2020-12-19T00:00:00"/>
        <d v="2020-12-20T00:00:00"/>
        <d v="2020-12-21T00:00:00"/>
        <d v="2020-12-22T00:00:00"/>
        <d v="2020-12-23T00:00:00"/>
        <d v="2020-12-24T00:00:00"/>
        <d v="2020-12-25T00:00:00"/>
        <d v="2020-12-26T00:00:00"/>
        <d v="2020-12-27T00:00:00"/>
        <d v="2020-12-28T00:00:00"/>
        <d v="2020-12-29T00:00:00"/>
        <d v="2020-12-30T00:00:00"/>
        <d v="2020-12-31T00:00:00"/>
        <d v="2021-01-01T00:00:00"/>
        <d v="2021-01-02T00:00:00"/>
        <d v="2021-01-03T00:00:00"/>
        <d v="2021-01-04T00:00:00"/>
        <d v="2021-01-05T00:00:00"/>
        <d v="2021-01-06T00:00:00"/>
        <d v="2021-01-07T00:00:00"/>
        <d v="2021-01-08T00:00:00"/>
        <d v="2021-01-09T00:00:00"/>
        <d v="2021-01-10T00:00:00"/>
        <d v="2021-01-11T00:00:00"/>
        <d v="2021-01-12T00:00:00"/>
        <d v="2021-01-13T00:00:00"/>
        <d v="2021-01-14T00:00:00"/>
        <d v="2021-01-15T00:00:00"/>
        <d v="2021-01-16T00:00:00"/>
        <d v="2021-01-17T00:00:00"/>
        <d v="2021-01-18T00:00:00"/>
        <d v="2021-01-19T00:00:00"/>
        <d v="2021-01-20T00:00:00"/>
        <d v="2021-01-21T00:00:00"/>
        <d v="2021-01-22T00:00:00"/>
        <d v="2021-01-23T00:00:00"/>
        <d v="2021-01-24T00:00:00"/>
        <d v="2021-01-25T00:00:00"/>
        <d v="2021-01-26T00:00:00"/>
        <d v="2021-01-27T00:00:00"/>
        <d v="2021-01-28T00:00:00"/>
        <d v="2021-01-29T00:00:00"/>
        <d v="2021-01-30T00:00:00"/>
        <d v="2021-01-31T00:00:00"/>
        <d v="2021-02-01T00:00:00"/>
        <d v="2021-02-02T00:00:00"/>
        <d v="2021-02-03T00:00:00"/>
        <d v="2021-02-04T00:00:00"/>
        <d v="2021-02-05T00:00:00"/>
        <d v="2021-02-06T00:00:00"/>
        <d v="2021-02-07T00:00:00"/>
        <d v="2021-02-08T00:00:00"/>
        <d v="2021-02-09T00:00:00"/>
        <d v="2021-02-10T00:00:00"/>
        <d v="2021-02-11T00:00:00"/>
        <d v="2021-02-12T00:00:00"/>
        <d v="2021-02-13T00:00:00"/>
        <d v="2021-02-14T00:00:00"/>
        <d v="2021-02-15T00:00:00"/>
        <d v="2021-02-16T00:00:00"/>
        <d v="2021-02-17T00:00:00"/>
        <d v="2021-02-18T00:00:00"/>
        <d v="2021-02-19T00:00:00"/>
        <d v="2021-02-20T00:00:00"/>
        <d v="2021-02-21T00:00:00"/>
        <d v="2021-02-22T00:00:00"/>
        <d v="2021-02-23T00:00:00"/>
        <d v="2021-02-24T00:00:00"/>
        <d v="2021-02-25T00:00:00"/>
        <d v="2021-02-26T00:00:00"/>
        <d v="2021-02-27T00:00:00"/>
        <d v="2021-02-28T00:00:00"/>
      </sharedItems>
    </cacheField>
    <cacheField name="[Measures].[Sum of Adult CC beds avail]" caption="Sum of Adult CC beds avail" numFmtId="0" hierarchy="77" level="32767"/>
    <cacheField name="[Measures].[Sum of Adult CC beds occ]" caption="Sum of Adult CC beds occ" numFmtId="0" hierarchy="78" level="32767"/>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2" memberValueDatatype="7"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oneField="1">
      <fieldsUsage count="1">
        <fieldUsage x="2"/>
      </fieldsUsage>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oneField="1">
      <fieldsUsage count="1">
        <fieldUsage x="3"/>
      </fieldsUsage>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433912035" createdVersion="4" refreshedVersion="6" minRefreshableVersion="3" recordCount="0" supportSubquery="1" supportAdvancedDrill="1" xr:uid="{B5CFD520-9368-41AE-8FFE-4EA4B9254EBD}">
  <cacheSource type="external" connectionId="4"/>
  <cacheFields count="5">
    <cacheField name="[Winter daily sitreps].[Year].[Year]" caption="Year" numFmtId="0" hierarchy="62" level="1">
      <sharedItems containsSemiMixedTypes="0" containsString="0"/>
    </cacheField>
    <cacheField name="[Measures].[Sum of Adult CC beds avail]" caption="Sum of Adult CC beds avail" numFmtId="0" hierarchy="77" level="32767"/>
    <cacheField name="[Measures].[Sum of Adult CC beds occ]" caption="Sum of Adult CC beds occ" numFmtId="0" hierarchy="78" level="32767"/>
    <cacheField name="[Winter daily sitreps].[Week long].[Week long]" caption="Week long" numFmtId="0" hierarchy="68" level="1">
      <sharedItems count="13">
        <s v="Week 1"/>
        <s v="Week 10"/>
        <s v="Week 11"/>
        <s v="Week 12"/>
        <s v="Week 13"/>
        <s v="Week 2"/>
        <s v="Week 3"/>
        <s v="Week 4"/>
        <s v="Week 5"/>
        <s v="Week 6"/>
        <s v="Week 7"/>
        <s v="Week 8"/>
        <s v="Week 9"/>
      </sharedItems>
    </cacheField>
    <cacheField name="[Winter daily sitreps].[Region].[Region]" caption="Region" numFmtId="0" hierarchy="61" level="1">
      <sharedItems count="7">
        <s v="East Of England"/>
        <s v="London"/>
        <s v="Midlands"/>
        <s v="North East and Yorkshire"/>
        <s v="North West"/>
        <s v="South East"/>
        <s v="South West"/>
      </sharedItems>
    </cacheField>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4"/>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3"/>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oneField="1">
      <fieldsUsage count="1">
        <fieldUsage x="1"/>
      </fieldsUsage>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oneField="1">
      <fieldsUsage count="1">
        <fieldUsage x="2"/>
      </fieldsUsage>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374189818" createdVersion="4" refreshedVersion="6" minRefreshableVersion="3" recordCount="0" supportSubquery="1" supportAdvancedDrill="1" xr:uid="{00000000-000A-0000-FFFF-FFFF11010000}">
  <cacheSource type="external" connectionId="4"/>
  <cacheFields count="3">
    <cacheField name="[Measures].[Sum of AE diverts]" caption="Sum of AE diverts" numFmtId="0" hierarchy="71" level="32767"/>
    <cacheField name="[Winter daily sitreps].[Week].[Week]" caption="Week" numFmtId="0" hierarchy="37" level="1">
      <sharedItems containsSemiMixedTypes="0" containsString="0" containsNumber="1" containsInteger="1" minValue="1" maxValue="13" count="13">
        <n v="1"/>
        <n v="2"/>
        <n v="3"/>
        <n v="4"/>
        <n v="5"/>
        <n v="6"/>
        <n v="7"/>
        <n v="8"/>
        <n v="9"/>
        <n v="10"/>
        <n v="11"/>
        <n v="12"/>
        <n v="13"/>
      </sharedItems>
    </cacheField>
    <cacheField name="[Winter daily sitreps].[Year].[Year]" caption="Year" numFmtId="0" hierarchy="62" level="1">
      <sharedItems containsSemiMixedTypes="0" containsString="0"/>
    </cacheField>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2" memberValueDatatype="5"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2"/>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oneField="1">
      <fieldsUsage count="1">
        <fieldUsage x="0"/>
      </fieldsUsage>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375810188" createdVersion="4" refreshedVersion="6" minRefreshableVersion="3" recordCount="0" supportSubquery="1" supportAdvancedDrill="1" xr:uid="{00000000-000A-0000-FFFF-FFFF02010000}">
  <cacheSource type="external" connectionId="4"/>
  <cacheFields count="4">
    <cacheField name="[Measures].[Sum of AE diverts]" caption="Sum of AE diverts" numFmtId="0" hierarchy="71" level="32767"/>
    <cacheField name="[Winter daily sitreps].[Year].[Year]" caption="Year" numFmtId="0" hierarchy="62" level="1">
      <sharedItems containsSemiMixedTypes="0" containsNonDate="0" containsString="0"/>
    </cacheField>
    <cacheField name="[Winter daily sitreps].[Region].[Region]" caption="Region" numFmtId="0" hierarchy="61" level="1">
      <sharedItems count="7">
        <s v="East Of England"/>
        <s v="London"/>
        <s v="Midlands"/>
        <s v="North East and Yorkshire"/>
        <s v="North West"/>
        <s v="South East"/>
        <s v="South West"/>
      </sharedItems>
    </cacheField>
    <cacheField name="[Winter daily sitreps].[Week long].[Week long]" caption="Week long" numFmtId="0" hierarchy="68" level="1">
      <sharedItems count="13">
        <s v="Week 1"/>
        <s v="Week 10"/>
        <s v="Week 11"/>
        <s v="Week 12"/>
        <s v="Week 13"/>
        <s v="Week 2"/>
        <s v="Week 3"/>
        <s v="Week 4"/>
        <s v="Week 5"/>
        <s v="Week 6"/>
        <s v="Week 7"/>
        <s v="Week 8"/>
        <s v="Week 9"/>
      </sharedItems>
    </cacheField>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2"/>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1"/>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3"/>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oneField="1">
      <fieldsUsage count="1">
        <fieldUsage x="0"/>
      </fieldsUsage>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377430558" createdVersion="4" refreshedVersion="6" minRefreshableVersion="3" recordCount="0" supportSubquery="1" supportAdvancedDrill="1" xr:uid="{00000000-000A-0000-FFFF-FFFF07010000}">
  <cacheSource type="external" connectionId="4"/>
  <cacheFields count="4">
    <cacheField name="[Measures].[Sum of Beds occ over 14 days 2]" caption="Sum of Beds occ over 14 days 2" numFmtId="0" hierarchy="87" level="32767"/>
    <cacheField name="[Winter daily sitreps].[Year].[Year]" caption="Year" numFmtId="0" hierarchy="62" level="1">
      <sharedItems containsSemiMixedTypes="0" containsNonDate="0" containsString="0"/>
    </cacheField>
    <cacheField name="[Winter daily sitreps].[Region].[Region]" caption="Region" numFmtId="0" hierarchy="61" level="1">
      <sharedItems count="7">
        <s v="East Of England"/>
        <s v="London"/>
        <s v="Midlands"/>
        <s v="North East and Yorkshire"/>
        <s v="North West"/>
        <s v="South East"/>
        <s v="South West"/>
      </sharedItems>
    </cacheField>
    <cacheField name="[Winter daily sitreps].[Week long].[Week long]" caption="Week long" numFmtId="0" hierarchy="68" level="1">
      <sharedItems count="13">
        <s v="Week 1"/>
        <s v="Week 10"/>
        <s v="Week 11"/>
        <s v="Week 12"/>
        <s v="Week 13"/>
        <s v="Week 2"/>
        <s v="Week 3"/>
        <s v="Week 4"/>
        <s v="Week 5"/>
        <s v="Week 6"/>
        <s v="Week 7"/>
        <s v="Week 8"/>
        <s v="Week 9"/>
      </sharedItems>
    </cacheField>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2"/>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1"/>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3"/>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oneField="1">
      <fieldsUsage count="1">
        <fieldUsage x="0"/>
      </fieldsUsage>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379050929" createdVersion="4" refreshedVersion="6" minRefreshableVersion="3" recordCount="0" supportSubquery="1" supportAdvancedDrill="1" xr:uid="{00000000-000A-0000-FFFF-FFFF06010000}">
  <cacheSource type="external" connectionId="4"/>
  <cacheFields count="4">
    <cacheField name="[Winter daily sitreps].[Year].[Year]" caption="Year" numFmtId="0" hierarchy="62" level="1">
      <sharedItems containsSemiMixedTypes="0" containsNonDate="0" containsString="0"/>
    </cacheField>
    <cacheField name="[Winter daily sitreps].[Region].[Region]" caption="Region" numFmtId="0" hierarchy="61" level="1">
      <sharedItems count="7">
        <s v="East Of England"/>
        <s v="London"/>
        <s v="Midlands"/>
        <s v="North East and Yorkshire"/>
        <s v="North West"/>
        <s v="South East"/>
        <s v="South West"/>
      </sharedItems>
    </cacheField>
    <cacheField name="[Winter daily sitreps].[Week long].[Week long]" caption="Week long" numFmtId="0" hierarchy="68" level="1">
      <sharedItems count="13">
        <s v="Week 1"/>
        <s v="Week 10"/>
        <s v="Week 11"/>
        <s v="Week 12"/>
        <s v="Week 13"/>
        <s v="Week 2"/>
        <s v="Week 3"/>
        <s v="Week 4"/>
        <s v="Week 5"/>
        <s v="Week 6"/>
        <s v="Week 7"/>
        <s v="Week 8"/>
        <s v="Week 9"/>
      </sharedItems>
    </cacheField>
    <cacheField name="[Measures].[Sum of Beds occ over 21 days]" caption="Sum of Beds occ over 21 days" numFmtId="0" hierarchy="93" level="32767"/>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1"/>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2"/>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oneField="1" hidden="1">
      <fieldsUsage count="1">
        <fieldUsage x="3"/>
      </fieldsUsage>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380671299" createdVersion="4" refreshedVersion="6" minRefreshableVersion="3" recordCount="0" supportSubquery="1" supportAdvancedDrill="1" xr:uid="{00000000-000A-0000-FFFF-FFFF05010000}">
  <cacheSource type="external" connectionId="4"/>
  <cacheFields count="4">
    <cacheField name="[Winter daily sitreps].[Year].[Year]" caption="Year" numFmtId="0" hierarchy="62" level="1">
      <sharedItems containsSemiMixedTypes="0" containsNonDate="0" containsString="0"/>
    </cacheField>
    <cacheField name="[Winter daily sitreps].[Region].[Region]" caption="Region" numFmtId="0" hierarchy="61" level="1">
      <sharedItems count="7">
        <s v="East Of England"/>
        <s v="London"/>
        <s v="Midlands"/>
        <s v="North East and Yorkshire"/>
        <s v="North West"/>
        <s v="South East"/>
        <s v="South West"/>
      </sharedItems>
    </cacheField>
    <cacheField name="[Winter daily sitreps].[Week long].[Week long]" caption="Week long" numFmtId="0" hierarchy="68" level="1">
      <sharedItems count="13">
        <s v="Week 1"/>
        <s v="Week 10"/>
        <s v="Week 11"/>
        <s v="Week 12"/>
        <s v="Week 13"/>
        <s v="Week 2"/>
        <s v="Week 3"/>
        <s v="Week 4"/>
        <s v="Week 5"/>
        <s v="Week 6"/>
        <s v="Week 7"/>
        <s v="Week 8"/>
        <s v="Week 9"/>
      </sharedItems>
    </cacheField>
    <cacheField name="[Measures].[Sum of Beds occ over 7 days]" caption="Sum of Beds occ over 7 days" numFmtId="0" hierarchy="73" level="32767"/>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0" memberValueDatatype="7" unbalanced="0"/>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2" memberValueDatatype="130" unbalanced="0">
      <fieldsUsage count="2">
        <fieldUsage x="-1"/>
        <fieldUsage x="1"/>
      </fieldsUsage>
    </cacheHierarchy>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0"/>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2" memberValueDatatype="130" unbalanced="0">
      <fieldsUsage count="2">
        <fieldUsage x="-1"/>
        <fieldUsage x="2"/>
      </fieldsUsage>
    </cacheHierarchy>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oneField="1">
      <fieldsUsage count="1">
        <fieldUsage x="3"/>
      </fieldsUsage>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hinde Oladimeji" refreshedDate="44259.462382291669" createdVersion="4" refreshedVersion="6" minRefreshableVersion="3" recordCount="0" supportSubquery="1" supportAdvancedDrill="1" xr:uid="{00000000-000A-0000-FFFF-FFFF12010000}">
  <cacheSource type="external" connectionId="4"/>
  <cacheFields count="3">
    <cacheField name="[Measures].[Sum of AE diverts]" caption="Sum of AE diverts" numFmtId="0" hierarchy="71" level="32767"/>
    <cacheField name="[Winter daily sitreps].[Year].[Year]" caption="Year" numFmtId="0" hierarchy="62" level="1">
      <sharedItems containsSemiMixedTypes="0" containsString="0"/>
    </cacheField>
    <cacheField name="[Winter daily sitreps].[Date].[Date]" caption="Date" numFmtId="0" hierarchy="36" level="1">
      <sharedItems containsSemiMixedTypes="0" containsNonDate="0" containsDate="1" containsString="0" minDate="2020-11-30T00:00:00" maxDate="2021-03-01T00:00:00" count="91">
        <d v="2020-11-30T00:00:00"/>
        <d v="2020-12-01T00:00:00"/>
        <d v="2020-12-02T00:00:00"/>
        <d v="2020-12-03T00:00:00"/>
        <d v="2020-12-04T00:00:00"/>
        <d v="2020-12-05T00:00:00"/>
        <d v="2020-12-06T00:00:00"/>
        <d v="2020-12-07T00:00:00"/>
        <d v="2020-12-08T00:00:00"/>
        <d v="2020-12-09T00:00:00"/>
        <d v="2020-12-10T00:00:00"/>
        <d v="2020-12-11T00:00:00"/>
        <d v="2020-12-12T00:00:00"/>
        <d v="2020-12-13T00:00:00"/>
        <d v="2020-12-14T00:00:00"/>
        <d v="2020-12-15T00:00:00"/>
        <d v="2020-12-16T00:00:00"/>
        <d v="2020-12-17T00:00:00"/>
        <d v="2020-12-18T00:00:00"/>
        <d v="2020-12-19T00:00:00"/>
        <d v="2020-12-20T00:00:00"/>
        <d v="2020-12-21T00:00:00"/>
        <d v="2020-12-22T00:00:00"/>
        <d v="2020-12-23T00:00:00"/>
        <d v="2020-12-24T00:00:00"/>
        <d v="2020-12-25T00:00:00"/>
        <d v="2020-12-26T00:00:00"/>
        <d v="2020-12-27T00:00:00"/>
        <d v="2020-12-28T00:00:00"/>
        <d v="2020-12-29T00:00:00"/>
        <d v="2020-12-30T00:00:00"/>
        <d v="2020-12-31T00:00:00"/>
        <d v="2021-01-01T00:00:00"/>
        <d v="2021-01-02T00:00:00"/>
        <d v="2021-01-03T00:00:00"/>
        <d v="2021-01-04T00:00:00"/>
        <d v="2021-01-05T00:00:00"/>
        <d v="2021-01-06T00:00:00"/>
        <d v="2021-01-07T00:00:00"/>
        <d v="2021-01-08T00:00:00"/>
        <d v="2021-01-09T00:00:00"/>
        <d v="2021-01-10T00:00:00"/>
        <d v="2021-01-11T00:00:00"/>
        <d v="2021-01-12T00:00:00"/>
        <d v="2021-01-13T00:00:00"/>
        <d v="2021-01-14T00:00:00"/>
        <d v="2021-01-15T00:00:00"/>
        <d v="2021-01-16T00:00:00"/>
        <d v="2021-01-17T00:00:00"/>
        <d v="2021-01-18T00:00:00"/>
        <d v="2021-01-19T00:00:00"/>
        <d v="2021-01-20T00:00:00"/>
        <d v="2021-01-21T00:00:00"/>
        <d v="2021-01-22T00:00:00"/>
        <d v="2021-01-23T00:00:00"/>
        <d v="2021-01-24T00:00:00"/>
        <d v="2021-01-25T00:00:00"/>
        <d v="2021-01-26T00:00:00"/>
        <d v="2021-01-27T00:00:00"/>
        <d v="2021-01-28T00:00:00"/>
        <d v="2021-01-29T00:00:00"/>
        <d v="2021-01-30T00:00:00"/>
        <d v="2021-01-31T00:00:00"/>
        <d v="2021-02-01T00:00:00"/>
        <d v="2021-02-02T00:00:00"/>
        <d v="2021-02-03T00:00:00"/>
        <d v="2021-02-04T00:00:00"/>
        <d v="2021-02-05T00:00:00"/>
        <d v="2021-02-06T00:00:00"/>
        <d v="2021-02-07T00:00:00"/>
        <d v="2021-02-08T00:00:00"/>
        <d v="2021-02-09T00:00:00"/>
        <d v="2021-02-10T00:00:00"/>
        <d v="2021-02-11T00:00:00"/>
        <d v="2021-02-12T00:00:00"/>
        <d v="2021-02-13T00:00:00"/>
        <d v="2021-02-14T00:00:00"/>
        <d v="2021-02-15T00:00:00"/>
        <d v="2021-02-16T00:00:00"/>
        <d v="2021-02-17T00:00:00"/>
        <d v="2021-02-18T00:00:00"/>
        <d v="2021-02-19T00:00:00"/>
        <d v="2021-02-20T00:00:00"/>
        <d v="2021-02-21T00:00:00"/>
        <d v="2021-02-22T00:00:00"/>
        <d v="2021-02-23T00:00:00"/>
        <d v="2021-02-24T00:00:00"/>
        <d v="2021-02-25T00:00:00"/>
        <d v="2021-02-26T00:00:00"/>
        <d v="2021-02-27T00:00:00"/>
        <d v="2021-02-28T00:00:00"/>
      </sharedItems>
    </cacheField>
  </cacheFields>
  <cacheHierarchies count="101">
    <cacheHierarchy uniqueName="[Winter bed occ over 14 days].[Region]" caption="Region" attribute="1" defaultMemberUniqueName="[Winter bed occ over 14 days].[Region].[All]" allUniqueName="[Winter bed occ over 14 days].[Region].[All]" dimensionUniqueName="[Winter bed occ over 14 days]" displayFolder="" count="0" memberValueDatatype="130" unbalanced="0"/>
    <cacheHierarchy uniqueName="[Winter bed occ over 14 days].[Code]" caption="Code" attribute="1" defaultMemberUniqueName="[Winter bed occ over 14 days].[Code].[All]" allUniqueName="[Winter bed occ over 14 days].[Code].[All]" dimensionUniqueName="[Winter bed occ over 14 days]" displayFolder="" count="0" memberValueDatatype="130" unbalanced="0"/>
    <cacheHierarchy uniqueName="[Winter bed occ over 14 days].[Name]" caption="Name" attribute="1" defaultMemberUniqueName="[Winter bed occ over 14 days].[Name].[All]" allUniqueName="[Winter bed occ over 14 days].[Name].[All]" dimensionUniqueName="[Winter bed occ over 14 days]" displayFolder="" count="0" memberValueDatatype="130" unbalanced="0"/>
    <cacheHierarchy uniqueName="[Winter bed occ over 14 days].[Year]" caption="Year" attribute="1" defaultMemberUniqueName="[Winter bed occ over 14 days].[Year].[All]" allUniqueName="[Winter bed occ over 14 days].[Year].[All]" dimensionUniqueName="[Winter bed occ over 14 days]" displayFolder="" count="0" memberValueDatatype="130" unbalanced="0"/>
    <cacheHierarchy uniqueName="[Winter bed occ over 14 days].[Date]" caption="Date" attribute="1" time="1" defaultMemberUniqueName="[Winter bed occ over 14 days].[Date].[All]" allUniqueName="[Winter bed occ over 14 days].[Date].[All]" dimensionUniqueName="[Winter bed occ over 14 days]" displayFolder="" count="0" memberValueDatatype="7" unbalanced="0"/>
    <cacheHierarchy uniqueName="[Winter bed occ over 14 days].[Week]" caption="Week" attribute="1" defaultMemberUniqueName="[Winter bed occ over 14 days].[Week].[All]" allUniqueName="[Winter bed occ over 14 days].[Week].[All]" dimensionUniqueName="[Winter bed occ over 14 days]" displayFolder="" count="0" memberValueDatatype="20" unbalanced="0"/>
    <cacheHierarchy uniqueName="[Winter bed occ over 14 days].[Day]" caption="Day" attribute="1" defaultMemberUniqueName="[Winter bed occ over 14 days].[Day].[All]" allUniqueName="[Winter bed occ over 14 days].[Day].[All]" dimensionUniqueName="[Winter bed occ over 14 days]" displayFolder="" count="0" memberValueDatatype="13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memberValueDatatype="2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memberValueDatatype="130" unbalanced="0"/>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memberValueDatatype="2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memberValueDatatype="2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memberValueDatatype="2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memberValueDatatype="2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memberValueDatatype="2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memberValueDatatype="2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memberValueDatatype="2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memberValueDatatype="2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memberValueDatatype="2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memberValueDatatype="2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memberValueDatatype="2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memberValueDatatype="2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memberValueDatatype="2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memberValueDatatype="2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memberValueDatatype="2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memberValueDatatype="2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memberValueDatatype="2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memberValueDatatype="2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memberValueDatatype="2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memberValueDatatype="20" unbalanced="0"/>
    <cacheHierarchy uniqueName="[Winter daily sitreps].[ID]" caption="ID" attribute="1" defaultMemberUniqueName="[Winter daily sitreps].[ID].[All]" allUniqueName="[Winter daily sitreps].[ID].[All]" dimensionUniqueName="[Winter daily sitreps]" displayFolder="" count="0" memberValueDatatype="20" unbalanced="0"/>
    <cacheHierarchy uniqueName="[Winter daily sitreps].[cri_id]" caption="cri_id" attribute="1" defaultMemberUniqueName="[Winter daily sitreps].[cri_id].[All]" allUniqueName="[Winter daily sitreps].[cri_id].[All]" dimensionUniqueName="[Winter daily sitreps]" displayFolder="" count="0" memberValueDatatype="20" unbalanced="0"/>
    <cacheHierarchy uniqueName="[Winter daily sitreps].[dr_id]" caption="dr_id" attribute="1" defaultMemberUniqueName="[Winter daily sitreps].[dr_id].[All]" allUniqueName="[Winter daily sitreps].[dr_id].[All]" dimensionUniqueName="[Winter daily sitreps]" displayFolder="" count="0" memberValueDatatype="20" unbalanced="0"/>
    <cacheHierarchy uniqueName="[Winter daily sitreps].[org_id]" caption="org_id" attribute="1" defaultMemberUniqueName="[Winter daily sitreps].[org_id].[All]" allUniqueName="[Winter daily sitreps].[org_id].[All]" dimensionUniqueName="[Winter daily sitreps]" displayFolder="" count="0" memberValueDatatype="20" unbalanced="0"/>
    <cacheHierarchy uniqueName="[Winter daily sitreps].[cri_dataperiodstart]" caption="cri_dataperiodstart" attribute="1" time="1" defaultMemberUniqueName="[Winter daily sitreps].[cri_dataperiodstart].[All]" allUniqueName="[Winter daily sitreps].[cri_dataperiodstart].[All]" dimensionUniqueName="[Winter daily sitreps]" displayFolder="" count="0" memberValueDatatype="7" unbalanced="0"/>
    <cacheHierarchy uniqueName="[Winter daily sitreps].[Code]" caption="Code" attribute="1" defaultMemberUniqueName="[Winter daily sitreps].[Code].[All]" allUniqueName="[Winter daily sitreps].[Code].[All]" dimensionUniqueName="[Winter daily sitreps]" displayFolder="" count="0" memberValueDatatype="130" unbalanced="0"/>
    <cacheHierarchy uniqueName="[Winter daily sitreps].[Name]" caption="Name" attribute="1" defaultMemberUniqueName="[Winter daily sitreps].[Name].[All]" allUniqueName="[Winter daily sitreps].[Name].[All]" dimensionUniqueName="[Winter daily sitreps]" displayFolder="" count="0" memberValueDatatype="130" unbalanced="0"/>
    <cacheHierarchy uniqueName="[Winter daily sitreps].[Date]" caption="Date" attribute="1" time="1" defaultMemberUniqueName="[Winter daily sitreps].[Date].[All]" allUniqueName="[Winter daily sitreps].[Date].[All]" dimensionUniqueName="[Winter daily sitreps]" displayFolder="" count="2" memberValueDatatype="7"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memberValueDatatype="5" unbalanced="0"/>
    <cacheHierarchy uniqueName="[Winter daily sitreps].[Day]" caption="Day" attribute="1" defaultMemberUniqueName="[Winter daily sitreps].[Day].[All]" allUniqueName="[Winter daily sitreps].[Day].[All]" dimensionUniqueName="[Winter daily sitreps]" displayFolder="" count="0" memberValueDatatype="130" unbalanced="0"/>
    <cacheHierarchy uniqueName="[Winter daily sitreps].[Bank holiday]" caption="Bank holiday" attribute="1" defaultMemberUniqueName="[Winter daily sitreps].[Bank holiday].[All]" allUniqueName="[Winter daily sitreps].[Bank holiday].[All]" dimensionUniqueName="[Winter daily sitreps]" displayFolder="" count="0" memberValueDatatype="5" unbalanced="0"/>
    <cacheHierarchy uniqueName="[Winter daily sitreps].[AE closures]" caption="AE closures" attribute="1" defaultMemberUniqueName="[Winter daily sitreps].[AE closures].[All]" allUniqueName="[Winter daily sitreps].[AE closures].[All]" dimensionUniqueName="[Winter daily sitreps]" displayFolder="" count="0" memberValueDatatype="5" unbalanced="0"/>
    <cacheHierarchy uniqueName="[Winter daily sitreps].[AE diverts]" caption="AE diverts" attribute="1" defaultMemberUniqueName="[Winter daily sitreps].[AE diverts].[All]" allUniqueName="[Winter daily sitreps].[AE diverts].[All]" dimensionUniqueName="[Winter daily sitreps]" displayFolder="" count="0" memberValueDatatype="5"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memberValueDatatype="5"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memberValueDatatype="5"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memberValueDatatype="5"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memberValueDatatype="5"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memberValueDatatype="5"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memberValueDatatype="5"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memberValueDatatype="5"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memberValueDatatype="5"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memberValueDatatype="5"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memberValueDatatype="5"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memberValueDatatype="5"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memberValueDatatype="5"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memberValueDatatype="5"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memberValueDatatype="5"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memberValueDatatype="5"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memberValueDatatype="5"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memberValueDatatype="5"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memberValueDatatype="5" unbalanced="0"/>
    <cacheHierarchy uniqueName="[Winter daily sitreps].[Weekend]" caption="Weekend" attribute="1" defaultMemberUniqueName="[Winter daily sitreps].[Weekend].[All]" allUniqueName="[Winter daily sitreps].[Weekend].[All]" dimensionUniqueName="[Winter daily sitreps]" displayFolder="" count="0" memberValueDatatype="5" unbalanced="0"/>
    <cacheHierarchy uniqueName="[Winter daily sitreps].[Region]" caption="Region" attribute="1" defaultMemberUniqueName="[Winter daily sitreps].[Region].[All]" allUniqueName="[Winter daily sitreps].[Region].[All]" dimensionUniqueName="[Winter daily sitreps]" displayFolder="" count="0" memberValueDatatype="130" unbalanced="0"/>
    <cacheHierarchy uniqueName="[Winter daily sitreps].[Year]" caption="Year" attribute="1" defaultMemberUniqueName="[Winter daily sitreps].[Year].[All]" allUniqueName="[Winter daily sitreps].[Year].[All]" dimensionUniqueName="[Winter daily sitreps]" displayFolder="" count="2" memberValueDatatype="130" unbalanced="0">
      <fieldsUsage count="2">
        <fieldUsage x="-1"/>
        <fieldUsage x="1"/>
      </fieldsUsage>
    </cacheHierarchy>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memberValueDatatype="5"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memberValueDatatype="5" unbalanced="0"/>
    <cacheHierarchy uniqueName="[Winter daily sitreps].[Amb arrivals]" caption="Amb arrivals" attribute="1" defaultMemberUniqueName="[Winter daily sitreps].[Amb arrivals].[All]" allUniqueName="[Winter daily sitreps].[Amb arrivals].[All]" dimensionUniqueName="[Winter daily sitreps]" displayFolder="" count="0" memberValueDatatype="5"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memberValueDatatype="5"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memberValueDatatype="5" unbalanced="0"/>
    <cacheHierarchy uniqueName="[Winter daily sitreps].[Week long]" caption="Week long" attribute="1" defaultMemberUniqueName="[Winter daily sitreps].[Week long].[All]" allUniqueName="[Winter daily sitreps].[Week long].[All]" dimensionUniqueName="[Winter daily sitreps]" displayFolder="" count="0" memberValueDatatype="13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memberValueDatatype="5" unbalanced="0"/>
    <cacheHierarchy uniqueName="[Winter daily sitreps].[Beds occ over 14 days]" caption="Beds occ over 14 days" attribute="1" defaultMemberUniqueName="[Winter daily sitreps].[Beds occ over 14 days].[All]" allUniqueName="[Winter daily sitreps].[Beds occ over 14 days].[All]" dimensionUniqueName="[Winter daily sitreps]" displayFolder="" count="0" memberValueDatatype="5" unbalanced="0"/>
    <cacheHierarchy uniqueName="[Measures].[Sum of AE diverts]" caption="Sum of AE diverts" measure="1" displayFolder="" measureGroup="Winter daily sitreps" count="0" oneField="1">
      <fieldsUsage count="1">
        <fieldUsage x="0"/>
      </fieldsUsage>
      <extLst>
        <ext xmlns:x15="http://schemas.microsoft.com/office/spreadsheetml/2010/11/main" uri="{B97F6D7D-B522-45F9-BDA1-12C45D357490}">
          <x15:cacheHierarchy aggregatedColumn="41"/>
        </ext>
      </extLst>
    </cacheHierarchy>
    <cacheHierarchy uniqueName="[Measures].[Sum of GA total beds avail]" caption="Sum of GA total beds avail" measure="1" displayFolder="" measureGroup="Winter daily sitreps" count="0">
      <extLst>
        <ext xmlns:x15="http://schemas.microsoft.com/office/spreadsheetml/2010/11/main" uri="{B97F6D7D-B522-45F9-BDA1-12C45D357490}">
          <x15:cacheHierarchy aggregatedColumn="49"/>
        </ext>
      </extLst>
    </cacheHierarchy>
    <cacheHierarchy uniqueName="[Measures].[Sum of Beds occ over 7 days]" caption="Sum of Beds occ over 7 days" measure="1" displayFolder="" measureGroup="Winter daily sitreps" count="0">
      <extLst>
        <ext xmlns:x15="http://schemas.microsoft.com/office/spreadsheetml/2010/11/main" uri="{B97F6D7D-B522-45F9-BDA1-12C45D357490}">
          <x15:cacheHierarchy aggregatedColumn="63"/>
        </ext>
      </extLst>
    </cacheHierarchy>
    <cacheHierarchy uniqueName="[Measures].[Sum of Beds closed norovirus]" caption="Sum of Beds closed norovirus" measure="1" displayFolder="" measureGroup="Winter daily sitreps" count="0">
      <extLst>
        <ext xmlns:x15="http://schemas.microsoft.com/office/spreadsheetml/2010/11/main" uri="{B97F6D7D-B522-45F9-BDA1-12C45D357490}">
          <x15:cacheHierarchy aggregatedColumn="51"/>
        </ext>
      </extLst>
    </cacheHierarchy>
    <cacheHierarchy uniqueName="[Measures].[Sum of Beds closed norovius unocc]" caption="Sum of Beds closed norovius unocc" measure="1" displayFolder="" measureGroup="Winter daily sitreps" count="0">
      <extLst>
        <ext xmlns:x15="http://schemas.microsoft.com/office/spreadsheetml/2010/11/main" uri="{B97F6D7D-B522-45F9-BDA1-12C45D357490}">
          <x15:cacheHierarchy aggregatedColumn="52"/>
        </ext>
      </extLst>
    </cacheHierarchy>
    <cacheHierarchy uniqueName="[Measures].[Sum of Amb delays over 60 mins]" caption="Sum of Amb delays over 60 mins" measure="1" displayFolder="" measureGroup="Winter daily sitreps" count="0">
      <extLst>
        <ext xmlns:x15="http://schemas.microsoft.com/office/spreadsheetml/2010/11/main" uri="{B97F6D7D-B522-45F9-BDA1-12C45D357490}">
          <x15:cacheHierarchy aggregatedColumn="67"/>
        </ext>
      </extLst>
    </cacheHierarchy>
    <cacheHierarchy uniqueName="[Measures].[Sum of Adult CC beds avail]" caption="Sum of Adult CC beds avail" measure="1" displayFolder="" measureGroup="Winter daily sitreps" count="0">
      <extLst>
        <ext xmlns:x15="http://schemas.microsoft.com/office/spreadsheetml/2010/11/main" uri="{B97F6D7D-B522-45F9-BDA1-12C45D357490}">
          <x15:cacheHierarchy aggregatedColumn="53"/>
        </ext>
      </extLst>
    </cacheHierarchy>
    <cacheHierarchy uniqueName="[Measures].[Sum of Adult CC beds occ]" caption="Sum of Adult CC beds occ" measure="1" displayFolder="" measureGroup="Winter daily sitreps" count="0">
      <extLst>
        <ext xmlns:x15="http://schemas.microsoft.com/office/spreadsheetml/2010/11/main" uri="{B97F6D7D-B522-45F9-BDA1-12C45D357490}">
          <x15:cacheHierarchy aggregatedColumn="54"/>
        </ext>
      </extLst>
    </cacheHierarchy>
    <cacheHierarchy uniqueName="[Measures].[Sum of Paed Int Care Avail]" caption="Sum of Paed Int Care Avail" measure="1" displayFolder="" measureGroup="Winter daily sitreps" count="0">
      <extLst>
        <ext xmlns:x15="http://schemas.microsoft.com/office/spreadsheetml/2010/11/main" uri="{B97F6D7D-B522-45F9-BDA1-12C45D357490}">
          <x15:cacheHierarchy aggregatedColumn="55"/>
        </ext>
      </extLst>
    </cacheHierarchy>
    <cacheHierarchy uniqueName="[Measures].[Sum of Paed Int Care Occ]" caption="Sum of Paed Int Care Occ" measure="1" displayFolder="" measureGroup="Winter daily sitreps" count="0">
      <extLst>
        <ext xmlns:x15="http://schemas.microsoft.com/office/spreadsheetml/2010/11/main" uri="{B97F6D7D-B522-45F9-BDA1-12C45D357490}">
          <x15:cacheHierarchy aggregatedColumn="56"/>
        </ext>
      </extLst>
    </cacheHierarchy>
    <cacheHierarchy uniqueName="[Measures].[Sum of Neo Int Care Avail]" caption="Sum of Neo Int Care Avail" measure="1" displayFolder="" measureGroup="Winter daily sitreps" count="0">
      <extLst>
        <ext xmlns:x15="http://schemas.microsoft.com/office/spreadsheetml/2010/11/main" uri="{B97F6D7D-B522-45F9-BDA1-12C45D357490}">
          <x15:cacheHierarchy aggregatedColumn="57"/>
        </ext>
      </extLst>
    </cacheHierarchy>
    <cacheHierarchy uniqueName="[Measures].[Sum of Neo Int Care occ]" caption="Sum of Neo Int Care occ" measure="1" displayFolder="" measureGroup="Winter daily sitreps" count="0">
      <extLst>
        <ext xmlns:x15="http://schemas.microsoft.com/office/spreadsheetml/2010/11/main" uri="{B97F6D7D-B522-45F9-BDA1-12C45D357490}">
          <x15:cacheHierarchy aggregatedColumn="58"/>
        </ext>
      </extLst>
    </cacheHierarchy>
    <cacheHierarchy uniqueName="[Measures].[Average of GA bed occupancy]" caption="Average of GA bed occupancy" measure="1" displayFolder="" measureGroup="Winter daily sitreps" count="0">
      <extLst>
        <ext xmlns:x15="http://schemas.microsoft.com/office/spreadsheetml/2010/11/main" uri="{B97F6D7D-B522-45F9-BDA1-12C45D357490}">
          <x15:cacheHierarchy aggregatedColumn="69"/>
        </ext>
      </extLst>
    </cacheHierarchy>
    <cacheHierarchy uniqueName="[Measures].[Sum of GA core beds avail]" caption="Sum of GA core beds avail" measure="1" displayFolder="" measureGroup="Winter daily sitreps" count="0">
      <extLst>
        <ext xmlns:x15="http://schemas.microsoft.com/office/spreadsheetml/2010/11/main" uri="{B97F6D7D-B522-45F9-BDA1-12C45D357490}">
          <x15:cacheHierarchy aggregatedColumn="47"/>
        </ext>
      </extLst>
    </cacheHierarchy>
    <cacheHierarchy uniqueName="[Measures].[Sum of GA escalation beds avail]" caption="Sum of GA escalation beds avail" measure="1" displayFolder="" measureGroup="Winter daily sitreps" count="0">
      <extLst>
        <ext xmlns:x15="http://schemas.microsoft.com/office/spreadsheetml/2010/11/main" uri="{B97F6D7D-B522-45F9-BDA1-12C45D357490}">
          <x15:cacheHierarchy aggregatedColumn="48"/>
        </ext>
      </extLst>
    </cacheHierarchy>
    <cacheHierarchy uniqueName="[Measures].[Sum of Beds occ over 14 days]" caption="Sum of Beds occ over 14 days" measure="1" displayFolder="" measureGroup="Winter bed occ over 14 days" count="0">
      <extLst>
        <ext xmlns:x15="http://schemas.microsoft.com/office/spreadsheetml/2010/11/main" uri="{B97F6D7D-B522-45F9-BDA1-12C45D357490}">
          <x15:cacheHierarchy aggregatedColumn="28"/>
        </ext>
      </extLst>
    </cacheHierarchy>
    <cacheHierarchy uniqueName="[Measures].[Sum of Beds occ over 14 days 2]" caption="Sum of Beds occ over 14 days 2" measure="1" displayFolder="" measureGroup="Winter daily sitreps" count="0">
      <extLst>
        <ext xmlns:x15="http://schemas.microsoft.com/office/spreadsheetml/2010/11/main" uri="{B97F6D7D-B522-45F9-BDA1-12C45D357490}">
          <x15:cacheHierarchy aggregatedColumn="70"/>
        </ext>
      </extLst>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Average of GA total beds occupied]" caption="Average of GA total beds occupied" measure="1" displayFolder="" measureGroup="Winter daily sitreps" count="0" hidden="1">
      <extLst>
        <ext xmlns:x15="http://schemas.microsoft.com/office/spreadsheetml/2010/11/main" uri="{B97F6D7D-B522-45F9-BDA1-12C45D357490}">
          <x15:cacheHierarchy aggregatedColumn="50"/>
        </ext>
      </extLst>
    </cacheHierarchy>
    <cacheHierarchy uniqueName="[Measures].[Sum of Beds occ over 21 days]" caption="Sum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occ over 21 days]" caption="Average of Beds occ over 21 days" measure="1" displayFolder="" measureGroup="Winter daily sitreps" count="0" hidden="1">
      <extLst>
        <ext xmlns:x15="http://schemas.microsoft.com/office/spreadsheetml/2010/11/main" uri="{B97F6D7D-B522-45F9-BDA1-12C45D357490}">
          <x15:cacheHierarchy aggregatedColumn="64"/>
        </ext>
      </extLst>
    </cacheHierarchy>
    <cacheHierarchy uniqueName="[Measures].[Average of Beds closed norovirus]" caption="Average of Beds closed norovirus" measure="1" displayFolder="" measureGroup="Winter daily sitreps" count="0" hidden="1">
      <extLst>
        <ext xmlns:x15="http://schemas.microsoft.com/office/spreadsheetml/2010/11/main" uri="{B97F6D7D-B522-45F9-BDA1-12C45D357490}">
          <x15:cacheHierarchy aggregatedColumn="51"/>
        </ext>
      </extLst>
    </cacheHierarchy>
    <cacheHierarchy uniqueName="[Measures].[Sum of Amb arrivals]" caption="Sum of Amb arrivals" measure="1" displayFolder="" measureGroup="Winter daily sitreps" count="0" hidden="1">
      <extLst>
        <ext xmlns:x15="http://schemas.microsoft.com/office/spreadsheetml/2010/11/main" uri="{B97F6D7D-B522-45F9-BDA1-12C45D357490}">
          <x15:cacheHierarchy aggregatedColumn="65"/>
        </ext>
      </extLst>
    </cacheHierarchy>
    <cacheHierarchy uniqueName="[Measures].[Sum of Amb delays 30-60 mins]" caption="Sum of Amb delays 30-60 mins" measure="1" displayFolder="" measureGroup="Winter daily sitreps" count="0" hidden="1">
      <extLst>
        <ext xmlns:x15="http://schemas.microsoft.com/office/spreadsheetml/2010/11/main" uri="{B97F6D7D-B522-45F9-BDA1-12C45D357490}">
          <x15:cacheHierarchy aggregatedColumn="66"/>
        </ext>
      </extLst>
    </cacheHierarchy>
    <cacheHierarchy uniqueName="[Measures].[Average of Neo Int Care Avail]" caption="Average of Neo Int Care Avail" measure="1" displayFolder="" measureGroup="Winter daily sitreps" count="0" hidden="1">
      <extLst>
        <ext xmlns:x15="http://schemas.microsoft.com/office/spreadsheetml/2010/11/main" uri="{B97F6D7D-B522-45F9-BDA1-12C45D357490}">
          <x15:cacheHierarchy aggregatedColumn="57"/>
        </ext>
      </extLst>
    </cacheHierarchy>
    <cacheHierarchy uniqueName="[Measures].[Average of Neo Int Care occ]" caption="Average of Neo Int Care occ" measure="1" displayFolder="" measureGroup="Winter daily sitreps" count="0" hidden="1">
      <extLst>
        <ext xmlns:x15="http://schemas.microsoft.com/office/spreadsheetml/2010/11/main" uri="{B97F6D7D-B522-45F9-BDA1-12C45D357490}">
          <x15:cacheHierarchy aggregatedColumn="58"/>
        </ext>
      </extLst>
    </cacheHierarchy>
    <cacheHierarchy uniqueName="[Measures].[Sum of GA bed occupancy]" caption="Sum of GA bed occupancy" measure="1" displayFolder="" measureGroup="Winter daily sitreps" count="0" hidden="1">
      <extLst>
        <ext xmlns:x15="http://schemas.microsoft.com/office/spreadsheetml/2010/11/main" uri="{B97F6D7D-B522-45F9-BDA1-12C45D357490}">
          <x15:cacheHierarchy aggregatedColumn="69"/>
        </ext>
      </extLst>
    </cacheHierarchy>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6" cacheId="360" applyNumberFormats="0" applyBorderFormats="0" applyFontFormats="0" applyPatternFormats="0" applyAlignmentFormats="0" applyWidthHeightFormats="1" dataCaption="Values" tag="70907dcb-9db8-4617-8784-43e18385953c" updatedVersion="6" minRefreshableVersion="3" useAutoFormatting="1" subtotalHiddenItems="1" rowGrandTotals="0" colGrandTotals="0" itemPrintTitles="1" createdVersion="4" indent="0" outline="1" outlineData="1" multipleFieldFilters="0">
  <location ref="AF5:AG96"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t="default"/>
      </items>
    </pivotField>
  </pivotFields>
  <rowFields count="1">
    <field x="2"/>
  </rowFields>
  <rowItems count="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rowItems>
  <colItems count="1">
    <i/>
  </colItems>
  <pageFields count="1">
    <pageField fld="1" hier="62" name="[Winter daily sitreps].[Year].&amp;[2020/21]" cap="2020/21"/>
  </pageFields>
  <dataFields count="1">
    <dataField name="Sum of AE diverts" fld="0"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le15" cacheId="352" applyNumberFormats="0" applyBorderFormats="0" applyFontFormats="0" applyPatternFormats="0" applyAlignmentFormats="0" applyWidthHeightFormats="1" dataCaption="Values" tag="a352aa7b-46c6-4630-a505-e65dd965d25a" updatedVersion="6" minRefreshableVersion="3" useAutoFormatting="1" subtotalHiddenItems="1" itemPrintTitles="1" createdVersion="4" indent="0" outline="1" outlineData="1" multipleFieldFilters="0">
  <location ref="I5:Y21"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8">
        <item x="0"/>
        <item x="1"/>
        <item x="2"/>
        <item x="3"/>
        <item x="4"/>
        <item x="5"/>
        <item x="6"/>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s>
  <rowFields count="1">
    <field x="4"/>
  </rowFields>
  <rowItems count="14">
    <i>
      <x/>
    </i>
    <i>
      <x v="1"/>
    </i>
    <i>
      <x v="2"/>
    </i>
    <i>
      <x v="3"/>
    </i>
    <i>
      <x v="4"/>
    </i>
    <i>
      <x v="5"/>
    </i>
    <i>
      <x v="6"/>
    </i>
    <i>
      <x v="7"/>
    </i>
    <i>
      <x v="8"/>
    </i>
    <i>
      <x v="9"/>
    </i>
    <i>
      <x v="10"/>
    </i>
    <i>
      <x v="11"/>
    </i>
    <i>
      <x v="12"/>
    </i>
    <i t="grand">
      <x/>
    </i>
  </rowItems>
  <colFields count="2">
    <field x="3"/>
    <field x="-2"/>
  </colFields>
  <colItems count="16">
    <i>
      <x/>
      <x/>
    </i>
    <i r="1" i="1">
      <x v="1"/>
    </i>
    <i>
      <x v="1"/>
      <x/>
    </i>
    <i r="1" i="1">
      <x v="1"/>
    </i>
    <i>
      <x v="2"/>
      <x/>
    </i>
    <i r="1" i="1">
      <x v="1"/>
    </i>
    <i>
      <x v="3"/>
      <x/>
    </i>
    <i r="1" i="1">
      <x v="1"/>
    </i>
    <i>
      <x v="4"/>
      <x/>
    </i>
    <i r="1" i="1">
      <x v="1"/>
    </i>
    <i>
      <x v="5"/>
      <x/>
    </i>
    <i r="1" i="1">
      <x v="1"/>
    </i>
    <i>
      <x v="6"/>
      <x/>
    </i>
    <i r="1" i="1">
      <x v="1"/>
    </i>
    <i t="grand">
      <x/>
    </i>
    <i t="grand" i="1">
      <x/>
    </i>
  </colItems>
  <pageFields count="1">
    <pageField fld="0" hier="62" name="[Winter daily sitreps].[Year].&amp;[2020/21]" cap="2020/21"/>
  </pageFields>
  <dataFields count="2">
    <dataField name="Available" fld="1" baseField="0" baseItem="0"/>
    <dataField name="Occupied" fld="2"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2">
    <colHierarchyUsage hierarchyUsage="6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4" cacheId="351" applyNumberFormats="0" applyBorderFormats="0" applyFontFormats="0" applyPatternFormats="0" applyAlignmentFormats="0" applyWidthHeightFormats="1" dataCaption="Values" tag="8eedc978-07e8-48d8-81c4-2d336553a92f" updatedVersion="6" minRefreshableVersion="3" useAutoFormatting="1" subtotalHiddenItems="1" itemPrintTitles="1" createdVersion="4" indent="0" outline="1" outlineData="1" multipleFieldFilters="0">
  <location ref="B5:D19" firstHeaderRow="0" firstDataRow="1" firstDataCol="1" rowPageCount="1" colPageCount="1"/>
  <pivotFields count="4">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s>
  <rowFields count="1">
    <field x="3"/>
  </rowFields>
  <rowItems count="14">
    <i>
      <x/>
    </i>
    <i>
      <x v="1"/>
    </i>
    <i>
      <x v="2"/>
    </i>
    <i>
      <x v="3"/>
    </i>
    <i>
      <x v="4"/>
    </i>
    <i>
      <x v="5"/>
    </i>
    <i>
      <x v="6"/>
    </i>
    <i>
      <x v="7"/>
    </i>
    <i>
      <x v="8"/>
    </i>
    <i>
      <x v="9"/>
    </i>
    <i>
      <x v="10"/>
    </i>
    <i>
      <x v="11"/>
    </i>
    <i>
      <x v="12"/>
    </i>
    <i t="grand">
      <x/>
    </i>
  </rowItems>
  <colFields count="1">
    <field x="-2"/>
  </colFields>
  <colItems count="2">
    <i>
      <x/>
    </i>
    <i i="1">
      <x v="1"/>
    </i>
  </colItems>
  <pageFields count="1">
    <pageField fld="0" hier="62" name="[Winter daily sitreps].[Year].&amp;[2020/21]" cap="2020/21"/>
  </pageFields>
  <dataFields count="2">
    <dataField name="Available" fld="1" baseField="0" baseItem="0"/>
    <dataField name="Occupied" fld="2"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PivotTable3" cacheId="357" applyNumberFormats="0" applyBorderFormats="0" applyFontFormats="0" applyPatternFormats="0" applyAlignmentFormats="0" applyWidthHeightFormats="1" dataCaption="Values" tag="ecb01006-d778-4523-bb61-3a857638a5df" updatedVersion="6" minRefreshableVersion="3" useAutoFormatting="1" subtotalHiddenItems="1" itemPrintTitles="1" createdVersion="4" indent="0" outline="1" outlineData="1" multipleFieldFilters="0">
  <location ref="V5:AD20"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8">
        <item x="0"/>
        <item x="1"/>
        <item x="2"/>
        <item x="3"/>
        <item x="4"/>
        <item x="5"/>
        <item x="6"/>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s>
  <rowFields count="1">
    <field x="2"/>
  </rowFields>
  <rowItems count="14">
    <i>
      <x/>
    </i>
    <i>
      <x v="1"/>
    </i>
    <i>
      <x v="2"/>
    </i>
    <i>
      <x v="3"/>
    </i>
    <i>
      <x v="4"/>
    </i>
    <i>
      <x v="5"/>
    </i>
    <i>
      <x v="6"/>
    </i>
    <i>
      <x v="7"/>
    </i>
    <i>
      <x v="8"/>
    </i>
    <i>
      <x v="9"/>
    </i>
    <i>
      <x v="10"/>
    </i>
    <i>
      <x v="11"/>
    </i>
    <i>
      <x v="12"/>
    </i>
    <i t="grand">
      <x/>
    </i>
  </rowItems>
  <colFields count="1">
    <field x="1"/>
  </colFields>
  <colItems count="8">
    <i>
      <x/>
    </i>
    <i>
      <x v="1"/>
    </i>
    <i>
      <x v="2"/>
    </i>
    <i>
      <x v="3"/>
    </i>
    <i>
      <x v="4"/>
    </i>
    <i>
      <x v="5"/>
    </i>
    <i>
      <x v="6"/>
    </i>
    <i t="grand">
      <x/>
    </i>
  </colItems>
  <pageFields count="1">
    <pageField fld="0" hier="62" name="[Winter daily sitreps].[Year].&amp;[2020/21]" cap="2020/21"/>
  </pageFields>
  <dataFields count="1">
    <dataField name="Sum of Beds occ over 21 days" fld="3"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pivotHierarchy dragToRow="0" dragToCol="0" dragToPage="0" dragToData="1" caption="Sum of Beds occ over 7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21 days"/>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1">
    <colHierarchyUsage hierarchyUsage="6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2" cacheId="358" applyNumberFormats="0" applyBorderFormats="0" applyFontFormats="0" applyPatternFormats="0" applyAlignmentFormats="0" applyWidthHeightFormats="1" dataCaption="Values" tag="68ce7bb5-b9a1-4618-b6f2-2507f223e533" updatedVersion="6" minRefreshableVersion="3" useAutoFormatting="1" subtotalHiddenItems="1" itemPrintTitles="1" createdVersion="4" indent="0" outline="1" outlineData="1" multipleFieldFilters="0">
  <location ref="B5:J20"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8">
        <item x="0"/>
        <item x="1"/>
        <item x="2"/>
        <item x="3"/>
        <item x="4"/>
        <item x="5"/>
        <item x="6"/>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s>
  <rowFields count="1">
    <field x="2"/>
  </rowFields>
  <rowItems count="14">
    <i>
      <x/>
    </i>
    <i>
      <x v="1"/>
    </i>
    <i>
      <x v="2"/>
    </i>
    <i>
      <x v="3"/>
    </i>
    <i>
      <x v="4"/>
    </i>
    <i>
      <x v="5"/>
    </i>
    <i>
      <x v="6"/>
    </i>
    <i>
      <x v="7"/>
    </i>
    <i>
      <x v="8"/>
    </i>
    <i>
      <x v="9"/>
    </i>
    <i>
      <x v="10"/>
    </i>
    <i>
      <x v="11"/>
    </i>
    <i>
      <x v="12"/>
    </i>
    <i t="grand">
      <x/>
    </i>
  </rowItems>
  <colFields count="1">
    <field x="1"/>
  </colFields>
  <colItems count="8">
    <i>
      <x/>
    </i>
    <i>
      <x v="1"/>
    </i>
    <i>
      <x v="2"/>
    </i>
    <i>
      <x v="3"/>
    </i>
    <i>
      <x v="4"/>
    </i>
    <i>
      <x v="5"/>
    </i>
    <i>
      <x v="6"/>
    </i>
    <i t="grand">
      <x/>
    </i>
  </colItems>
  <pageFields count="1">
    <pageField fld="0" hier="62" name="[Winter daily sitreps].[Year].&amp;[2020/21]" cap="2020/21"/>
  </pageFields>
  <dataFields count="1">
    <dataField name="Sum of Beds occ over 7 days" fld="3"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pivotHierarchy dragToRow="0" dragToCol="0" dragToPage="0" dragToData="1" caption="Sum of Beds occ over 7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1">
    <colHierarchyUsage hierarchyUsage="6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PivotTable7" cacheId="356" applyNumberFormats="0" applyBorderFormats="0" applyFontFormats="0" applyPatternFormats="0" applyAlignmentFormats="0" applyWidthHeightFormats="1" dataCaption="Values" tag="9ee8705f-742d-43e2-b9ad-e7b8f313e376" updatedVersion="6" minRefreshableVersion="3" useAutoFormatting="1" subtotalHiddenItems="1" itemPrintTitles="1" createdVersion="4" indent="0" outline="1" outlineData="1" multipleFieldFilters="0">
  <location ref="AQ6:AY21" firstHeaderRow="1" firstDataRow="2" firstDataCol="1" rowPageCount="1" colPageCount="1"/>
  <pivotFields count="4">
    <pivotField dataField="1" showAll="0"/>
    <pivotField axis="axisPage" allDrilled="1" showAll="0" dataSourceSort="1" defaultAttributeDrillState="1">
      <items count="1">
        <item t="default"/>
      </items>
    </pivotField>
    <pivotField axis="axisCol" allDrilled="1" showAll="0" dataSourceSort="1" defaultAttributeDrillState="1">
      <items count="8">
        <item x="0"/>
        <item x="1"/>
        <item x="2"/>
        <item x="3"/>
        <item x="4"/>
        <item x="5"/>
        <item x="6"/>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s>
  <rowFields count="1">
    <field x="3"/>
  </rowFields>
  <rowItems count="14">
    <i>
      <x/>
    </i>
    <i>
      <x v="1"/>
    </i>
    <i>
      <x v="2"/>
    </i>
    <i>
      <x v="3"/>
    </i>
    <i>
      <x v="4"/>
    </i>
    <i>
      <x v="5"/>
    </i>
    <i>
      <x v="6"/>
    </i>
    <i>
      <x v="7"/>
    </i>
    <i>
      <x v="8"/>
    </i>
    <i>
      <x v="9"/>
    </i>
    <i>
      <x v="10"/>
    </i>
    <i>
      <x v="11"/>
    </i>
    <i>
      <x v="12"/>
    </i>
    <i t="grand">
      <x/>
    </i>
  </rowItems>
  <colFields count="1">
    <field x="2"/>
  </colFields>
  <colItems count="8">
    <i>
      <x/>
    </i>
    <i>
      <x v="1"/>
    </i>
    <i>
      <x v="2"/>
    </i>
    <i>
      <x v="3"/>
    </i>
    <i>
      <x v="4"/>
    </i>
    <i>
      <x v="5"/>
    </i>
    <i>
      <x v="6"/>
    </i>
    <i t="grand">
      <x/>
    </i>
  </colItems>
  <pageFields count="1">
    <pageField fld="1" hier="62" name="[Winter daily sitreps].[Year].&amp;[2020/21]" cap="2020/21"/>
  </pageFields>
  <dataFields count="1">
    <dataField name="Sum of Beds occ over 14 days 2" fld="0"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14 days 2"/>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1">
    <colHierarchyUsage hierarchyUsage="6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500-000002000000}" name="PivotTable19" cacheId="370" applyNumberFormats="0" applyBorderFormats="0" applyFontFormats="0" applyPatternFormats="0" applyAlignmentFormats="0" applyWidthHeightFormats="1" dataCaption="Values" tag="e2de2b40-f58f-4522-b985-c9b08a98f818" updatedVersion="6" minRefreshableVersion="3" useAutoFormatting="1" subtotalHiddenItems="1" rowGrandTotals="0" colGrandTotals="0" itemPrintTitles="1" createdVersion="4" indent="0" outline="1" outlineData="1" multipleFieldFilters="0">
  <location ref="AC5:AP133" firstHeaderRow="1" firstDataRow="2" firstDataCol="1" rowPageCount="1" colPageCount="1"/>
  <pivotFields count="4">
    <pivotField axis="axisPage" allDrilled="1" showAll="0" dataSourceSort="1" defaultAttributeDrillState="1">
      <items count="1">
        <item t="default"/>
      </items>
    </pivotField>
    <pivotField dataField="1" showAll="0"/>
    <pivotField axis="axisCol" allDrilled="1" showAll="0" defaultAttributeDrillState="1">
      <items count="14">
        <item x="0"/>
        <item x="5"/>
        <item x="6"/>
        <item x="7"/>
        <item x="8"/>
        <item x="9"/>
        <item x="10"/>
        <item x="11"/>
        <item x="12"/>
        <item x="1"/>
        <item x="2"/>
        <item x="3"/>
        <item x="4"/>
        <item t="default"/>
      </items>
    </pivotField>
    <pivotField axis="axisRow" allDrilled="1" showAll="0" dataSourceSort="1" defaultAttributeDrillState="1">
      <items count="1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t="default"/>
      </items>
    </pivotField>
  </pivotFields>
  <rowFields count="1">
    <field x="3"/>
  </rowFields>
  <rowItems count="12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rowItems>
  <colFields count="1">
    <field x="2"/>
  </colFields>
  <colItems count="13">
    <i>
      <x/>
    </i>
    <i>
      <x v="1"/>
    </i>
    <i>
      <x v="2"/>
    </i>
    <i>
      <x v="3"/>
    </i>
    <i>
      <x v="4"/>
    </i>
    <i>
      <x v="5"/>
    </i>
    <i>
      <x v="6"/>
    </i>
    <i>
      <x v="7"/>
    </i>
    <i>
      <x v="8"/>
    </i>
    <i>
      <x v="9"/>
    </i>
    <i>
      <x v="10"/>
    </i>
    <i>
      <x v="11"/>
    </i>
    <i>
      <x v="12"/>
    </i>
  </colItems>
  <pageFields count="1">
    <pageField fld="0" hier="62" name="[Winter daily sitreps].[Year].&amp;[2020/21]" cap="2020/21"/>
  </pageFields>
  <dataFields count="1">
    <dataField name="Sum of Beds closed norovirus" fld="1"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5"/>
  </rowHierarchiesUsage>
  <colHierarchiesUsage count="1">
    <colHierarchyUsage hierarchyUsage="6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500-000007000000}" name="PivotTable24" cacheId="375" applyNumberFormats="0" applyBorderFormats="0" applyFontFormats="0" applyPatternFormats="0" applyAlignmentFormats="0" applyWidthHeightFormats="1" dataCaption="Values" tag="6a6694bf-2579-4d47-ad99-0cf669c79fb5" updatedVersion="6" minRefreshableVersion="3" useAutoFormatting="1" subtotalHiddenItems="1" rowGrandTotals="0" colGrandTotals="0" itemPrintTitles="1" createdVersion="4" indent="0" outline="1" outlineData="1" multipleFieldFilters="0">
  <location ref="CR5:CS96"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t="default"/>
      </items>
    </pivotField>
    <pivotField dataField="1" showAll="0"/>
  </pivotFields>
  <rowFields count="1">
    <field x="1"/>
  </rowFields>
  <rowItems count="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rowItems>
  <colItems count="1">
    <i/>
  </colItems>
  <pageFields count="1">
    <pageField fld="0" hier="62" name="[Winter daily sitreps].[Year].&amp;[2020/21]" cap="2020/21"/>
  </pageFields>
  <dataFields count="1">
    <dataField name="Sum of Beds closed norovius unocc" fld="2"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500-000006000000}" name="PivotTable23" cacheId="374" applyNumberFormats="0" applyBorderFormats="0" applyFontFormats="0" applyPatternFormats="0" applyAlignmentFormats="0" applyWidthHeightFormats="1" dataCaption="Values" tag="2d9d57d6-241a-4b7d-8007-23756dbf9354" updatedVersion="6" minRefreshableVersion="3" useAutoFormatting="1" subtotalHiddenItems="1" rowGrandTotals="0" colGrandTotals="0" itemPrintTitles="1" createdVersion="4" indent="0" outline="1" outlineData="1" multipleFieldFilters="0">
  <location ref="CA5:CN133" firstHeaderRow="1" firstDataRow="2" firstDataCol="1" rowPageCount="1" colPageCount="1"/>
  <pivotFields count="4">
    <pivotField axis="axisPage" allDrilled="1" showAll="0" dataSourceSort="1" defaultAttributeDrillState="1">
      <items count="1">
        <item t="default"/>
      </items>
    </pivotField>
    <pivotField axis="axisCol" allDrilled="1" showAll="0" sortType="ascending" defaultAttributeDrillState="1">
      <items count="14">
        <item x="0"/>
        <item x="1"/>
        <item x="2"/>
        <item x="3"/>
        <item x="4"/>
        <item x="5"/>
        <item x="6"/>
        <item x="7"/>
        <item x="8"/>
        <item x="9"/>
        <item x="10"/>
        <item x="11"/>
        <item x="12"/>
        <item t="default"/>
      </items>
    </pivotField>
    <pivotField axis="axisRow" allDrilled="1" showAll="0" dataSourceSort="1" defaultAttributeDrillState="1">
      <items count="1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t="default"/>
      </items>
    </pivotField>
    <pivotField dataField="1" showAll="0"/>
  </pivotFields>
  <rowFields count="1">
    <field x="2"/>
  </rowFields>
  <rowItems count="12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rowItems>
  <colFields count="1">
    <field x="1"/>
  </colFields>
  <colItems count="13">
    <i>
      <x/>
    </i>
    <i>
      <x v="1"/>
    </i>
    <i>
      <x v="2"/>
    </i>
    <i>
      <x v="3"/>
    </i>
    <i>
      <x v="4"/>
    </i>
    <i>
      <x v="5"/>
    </i>
    <i>
      <x v="6"/>
    </i>
    <i>
      <x v="7"/>
    </i>
    <i>
      <x v="8"/>
    </i>
    <i>
      <x v="9"/>
    </i>
    <i>
      <x v="10"/>
    </i>
    <i>
      <x v="11"/>
    </i>
    <i>
      <x v="12"/>
    </i>
  </colItems>
  <pageFields count="1">
    <pageField fld="0" hier="62" name="[Winter daily sitreps].[Year].&amp;[2020/21]" cap="2020/21"/>
  </pageFields>
  <dataFields count="1">
    <dataField name="Sum of Beds closed norovius unocc" fld="3"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5"/>
  </rowHierarchiesUsage>
  <colHierarchiesUsage count="1">
    <colHierarchyUsage hierarchyUsage="6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500-000001000000}" name="PivotTable18" cacheId="369" applyNumberFormats="0" applyBorderFormats="0" applyFontFormats="0" applyPatternFormats="0" applyAlignmentFormats="0" applyWidthHeightFormats="1" dataCaption="Values" tag="8602e907-ddc4-40bb-89ca-8369de914bb2" updatedVersion="6" minRefreshableVersion="3" useAutoFormatting="1" subtotalHiddenItems="1" itemPrintTitles="1" createdVersion="4" indent="0" outline="1" outlineData="1" multipleFieldFilters="0">
  <location ref="G5:O20" firstHeaderRow="1" firstDataRow="2" firstDataCol="1" rowPageCount="1" colPageCount="1"/>
  <pivotFields count="4">
    <pivotField axis="axisPage" allDrilled="1" showAll="0" dataSourceSort="1" defaultAttributeDrillState="1">
      <items count="1">
        <item t="default"/>
      </items>
    </pivotField>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8">
        <item x="0"/>
        <item x="1"/>
        <item x="2"/>
        <item x="3"/>
        <item x="4"/>
        <item x="5"/>
        <item x="6"/>
        <item t="default"/>
      </items>
    </pivotField>
  </pivotFields>
  <rowFields count="1">
    <field x="2"/>
  </rowFields>
  <rowItems count="14">
    <i>
      <x/>
    </i>
    <i>
      <x v="1"/>
    </i>
    <i>
      <x v="2"/>
    </i>
    <i>
      <x v="3"/>
    </i>
    <i>
      <x v="4"/>
    </i>
    <i>
      <x v="5"/>
    </i>
    <i>
      <x v="6"/>
    </i>
    <i>
      <x v="7"/>
    </i>
    <i>
      <x v="8"/>
    </i>
    <i>
      <x v="9"/>
    </i>
    <i>
      <x v="10"/>
    </i>
    <i>
      <x v="11"/>
    </i>
    <i>
      <x v="12"/>
    </i>
    <i t="grand">
      <x/>
    </i>
  </rowItems>
  <colFields count="1">
    <field x="3"/>
  </colFields>
  <colItems count="8">
    <i>
      <x/>
    </i>
    <i>
      <x v="1"/>
    </i>
    <i>
      <x v="2"/>
    </i>
    <i>
      <x v="3"/>
    </i>
    <i>
      <x v="4"/>
    </i>
    <i>
      <x v="5"/>
    </i>
    <i>
      <x v="6"/>
    </i>
    <i t="grand">
      <x/>
    </i>
  </colItems>
  <pageFields count="1">
    <pageField fld="0" hier="62" name="[Winter daily sitreps].[Year].&amp;[2020/21]" cap="2020/21"/>
  </pageFields>
  <dataFields count="1">
    <dataField name="Sum of Beds closed norovirus" fld="1"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1">
    <colHierarchyUsage hierarchyUsage="6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7" cacheId="368" applyNumberFormats="0" applyBorderFormats="0" applyFontFormats="0" applyPatternFormats="0" applyAlignmentFormats="0" applyWidthHeightFormats="1" dataCaption="Values" tag="97b77543-1b1d-432f-8c12-86d5d61267bb" updatedVersion="6" minRefreshableVersion="3" useAutoFormatting="1" subtotalHiddenItems="1" rowGrandTotals="0" colGrandTotals="0" itemPrintTitles="1" createdVersion="4" indent="0" outline="1" outlineData="1" multipleFieldFilters="0">
  <location ref="B5:C18"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s>
  <rowFields count="1">
    <field x="1"/>
  </rowFields>
  <rowItems count="13">
    <i>
      <x/>
    </i>
    <i>
      <x v="1"/>
    </i>
    <i>
      <x v="2"/>
    </i>
    <i>
      <x v="3"/>
    </i>
    <i>
      <x v="4"/>
    </i>
    <i>
      <x v="5"/>
    </i>
    <i>
      <x v="6"/>
    </i>
    <i>
      <x v="7"/>
    </i>
    <i>
      <x v="8"/>
    </i>
    <i>
      <x v="9"/>
    </i>
    <i>
      <x v="10"/>
    </i>
    <i>
      <x v="11"/>
    </i>
    <i>
      <x v="12"/>
    </i>
  </rowItems>
  <colItems count="1">
    <i/>
  </colItems>
  <pageFields count="1">
    <pageField fld="0" hier="62" name="[Winter daily sitreps].[Year].&amp;[2020/21]" cap="2020/21"/>
  </pageFields>
  <dataFields count="1">
    <dataField name="Sum of Beds closed norovirus" fld="2"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4" cacheId="359" applyNumberFormats="0" applyBorderFormats="0" applyFontFormats="0" applyPatternFormats="0" applyAlignmentFormats="0" applyWidthHeightFormats="1" dataCaption="Values" tag="9d06cd80-18ab-4970-aab5-c7eca71eb3db" updatedVersion="6" minRefreshableVersion="3" useAutoFormatting="1" subtotalHiddenItems="1" rowGrandTotals="0" colGrandTotals="0" itemPrintTitles="1" createdVersion="4" indent="0" outline="1" outlineData="1" multipleFieldFilters="0">
  <location ref="AA5:AB96"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t="default"/>
      </items>
    </pivotField>
  </pivotFields>
  <rowFields count="1">
    <field x="2"/>
  </rowFields>
  <rowItems count="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rowItems>
  <colItems count="1">
    <i/>
  </colItems>
  <pageFields count="1">
    <pageField fld="1" hier="62" name="[Winter daily sitreps].[Year].&amp;[2020/21]" cap="2020/21"/>
  </pageFields>
  <dataFields count="1">
    <dataField name="Sum of AE diverts" fld="0"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500-000004000000}" name="PivotTable21" cacheId="372" applyNumberFormats="0" applyBorderFormats="0" applyFontFormats="0" applyPatternFormats="0" applyAlignmentFormats="0" applyWidthHeightFormats="1" dataCaption="Values" tag="fb069d29-b488-44cf-b4dd-a64c1834045e" updatedVersion="6" minRefreshableVersion="3" useAutoFormatting="1" subtotalHiddenItems="1" rowGrandTotals="0" colGrandTotals="0" itemPrintTitles="1" createdVersion="4" indent="0" outline="1" outlineData="1" multipleFieldFilters="0">
  <location ref="AY5:AZ18"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s>
  <rowFields count="1">
    <field x="1"/>
  </rowFields>
  <rowItems count="13">
    <i>
      <x/>
    </i>
    <i>
      <x v="1"/>
    </i>
    <i>
      <x v="2"/>
    </i>
    <i>
      <x v="3"/>
    </i>
    <i>
      <x v="4"/>
    </i>
    <i>
      <x v="5"/>
    </i>
    <i>
      <x v="6"/>
    </i>
    <i>
      <x v="7"/>
    </i>
    <i>
      <x v="8"/>
    </i>
    <i>
      <x v="9"/>
    </i>
    <i>
      <x v="10"/>
    </i>
    <i>
      <x v="11"/>
    </i>
    <i>
      <x v="12"/>
    </i>
  </rowItems>
  <colItems count="1">
    <i/>
  </colItems>
  <pageFields count="1">
    <pageField fld="0" hier="62" name="[Winter daily sitreps].[Year].&amp;[2020/21]" cap="2020/21"/>
  </pageFields>
  <dataFields count="1">
    <dataField name="Sum of Beds closed norovius unocc" fld="2"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500-000005000000}" name="PivotTable22" cacheId="373" applyNumberFormats="0" applyBorderFormats="0" applyFontFormats="0" applyPatternFormats="0" applyAlignmentFormats="0" applyWidthHeightFormats="1" dataCaption="Values" tag="f6e7f0b5-4ed5-4fba-bac3-7097d79e854c" updatedVersion="6" minRefreshableVersion="3" useAutoFormatting="1" subtotalHiddenItems="1" itemPrintTitles="1" createdVersion="4" indent="0" outline="1" outlineData="1" multipleFieldFilters="0">
  <location ref="BD5:BL20"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8">
        <item x="0"/>
        <item x="1"/>
        <item x="2"/>
        <item x="3"/>
        <item x="4"/>
        <item x="5"/>
        <item x="6"/>
        <item t="default"/>
      </items>
    </pivotField>
    <pivotField dataField="1" showAll="0"/>
  </pivotFields>
  <rowFields count="1">
    <field x="1"/>
  </rowFields>
  <rowItems count="14">
    <i>
      <x/>
    </i>
    <i>
      <x v="1"/>
    </i>
    <i>
      <x v="2"/>
    </i>
    <i>
      <x v="3"/>
    </i>
    <i>
      <x v="4"/>
    </i>
    <i>
      <x v="5"/>
    </i>
    <i>
      <x v="6"/>
    </i>
    <i>
      <x v="7"/>
    </i>
    <i>
      <x v="8"/>
    </i>
    <i>
      <x v="9"/>
    </i>
    <i>
      <x v="10"/>
    </i>
    <i>
      <x v="11"/>
    </i>
    <i>
      <x v="12"/>
    </i>
    <i t="grand">
      <x/>
    </i>
  </rowItems>
  <colFields count="1">
    <field x="2"/>
  </colFields>
  <colItems count="8">
    <i>
      <x/>
    </i>
    <i>
      <x v="1"/>
    </i>
    <i>
      <x v="2"/>
    </i>
    <i>
      <x v="3"/>
    </i>
    <i>
      <x v="4"/>
    </i>
    <i>
      <x v="5"/>
    </i>
    <i>
      <x v="6"/>
    </i>
    <i t="grand">
      <x/>
    </i>
  </colItems>
  <pageFields count="1">
    <pageField fld="0" hier="62" name="[Winter daily sitreps].[Year].&amp;[2020/21]" cap="2020/21"/>
  </pageFields>
  <dataFields count="1">
    <dataField name="Sum of Beds closed norovius unocc" fld="3"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1">
    <colHierarchyUsage hierarchyUsage="6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0500-000003000000}" name="PivotTable20" cacheId="371" applyNumberFormats="0" applyBorderFormats="0" applyFontFormats="0" applyPatternFormats="0" applyAlignmentFormats="0" applyWidthHeightFormats="1" dataCaption="Values" tag="7ec86bb0-3bf3-4944-b894-a8057789e36b" updatedVersion="6" minRefreshableVersion="3" useAutoFormatting="1" subtotalHiddenItems="1" rowGrandTotals="0" colGrandTotals="0" itemPrintTitles="1" createdVersion="4" indent="0" outline="1" outlineData="1" multipleFieldFilters="0">
  <location ref="AS5:AT96"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t="default"/>
      </items>
    </pivotField>
    <pivotField dataField="1" showAll="0"/>
  </pivotFields>
  <rowFields count="1">
    <field x="1"/>
  </rowFields>
  <rowItems count="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rowItems>
  <colItems count="1">
    <i/>
  </colItems>
  <pageFields count="1">
    <pageField fld="0" hier="62" name="[Winter daily sitreps].[Year].&amp;[2020/21]" cap="2020/21"/>
  </pageFields>
  <dataFields count="1">
    <dataField name="Sum of Beds closed norovirus" fld="2"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0600-000001000000}" name="PivotTable26" cacheId="377" applyNumberFormats="0" applyBorderFormats="0" applyFontFormats="0" applyPatternFormats="0" applyAlignmentFormats="0" applyWidthHeightFormats="1" dataCaption="Values" tag="c1fa9d37-cafa-4c6c-bd29-455cc7cea9b3" updatedVersion="6" minRefreshableVersion="3" useAutoFormatting="1" subtotalHiddenItems="1" itemPrintTitles="1" createdVersion="4" indent="0" outline="1" outlineData="1" multipleFieldFilters="0">
  <location ref="I5:Y21"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8">
        <item x="0"/>
        <item x="1"/>
        <item x="2"/>
        <item x="3"/>
        <item x="4"/>
        <item x="5"/>
        <item x="6"/>
        <item t="default"/>
      </items>
    </pivotField>
  </pivotFields>
  <rowFields count="1">
    <field x="3"/>
  </rowFields>
  <rowItems count="14">
    <i>
      <x/>
    </i>
    <i>
      <x v="1"/>
    </i>
    <i>
      <x v="2"/>
    </i>
    <i>
      <x v="3"/>
    </i>
    <i>
      <x v="4"/>
    </i>
    <i>
      <x v="5"/>
    </i>
    <i>
      <x v="6"/>
    </i>
    <i>
      <x v="7"/>
    </i>
    <i>
      <x v="8"/>
    </i>
    <i>
      <x v="9"/>
    </i>
    <i>
      <x v="10"/>
    </i>
    <i>
      <x v="11"/>
    </i>
    <i>
      <x v="12"/>
    </i>
    <i t="grand">
      <x/>
    </i>
  </rowItems>
  <colFields count="2">
    <field x="4"/>
    <field x="-2"/>
  </colFields>
  <colItems count="16">
    <i>
      <x/>
      <x/>
    </i>
    <i r="1" i="1">
      <x v="1"/>
    </i>
    <i>
      <x v="1"/>
      <x/>
    </i>
    <i r="1" i="1">
      <x v="1"/>
    </i>
    <i>
      <x v="2"/>
      <x/>
    </i>
    <i r="1" i="1">
      <x v="1"/>
    </i>
    <i>
      <x v="3"/>
      <x/>
    </i>
    <i r="1" i="1">
      <x v="1"/>
    </i>
    <i>
      <x v="4"/>
      <x/>
    </i>
    <i r="1" i="1">
      <x v="1"/>
    </i>
    <i>
      <x v="5"/>
      <x/>
    </i>
    <i r="1" i="1">
      <x v="1"/>
    </i>
    <i>
      <x v="6"/>
      <x/>
    </i>
    <i r="1" i="1">
      <x v="1"/>
    </i>
    <i t="grand">
      <x/>
    </i>
    <i t="grand" i="1">
      <x/>
    </i>
  </colItems>
  <pageFields count="1">
    <pageField fld="0" hier="62" name="[Winter daily sitreps].[Year].&amp;[2020/21]" cap="2020/21"/>
  </pageFields>
  <dataFields count="2">
    <dataField name="Avail" fld="1" baseField="0" baseItem="0"/>
    <dataField name="Occ" fld="2"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2">
    <colHierarchyUsage hierarchyUsage="6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25" cacheId="376" applyNumberFormats="0" applyBorderFormats="0" applyFontFormats="0" applyPatternFormats="0" applyAlignmentFormats="0" applyWidthHeightFormats="1" dataCaption="Values" tag="61ac615e-4002-46a2-afd6-5601e05c1057" updatedVersion="6" minRefreshableVersion="3" useAutoFormatting="1" subtotalHiddenItems="1" rowGrandTotals="0" colGrandTotals="0" itemPrintTitles="1" createdVersion="4" indent="0" outline="1" outlineData="1" multipleFieldFilters="0">
  <location ref="C5:E1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dataField="1" showAll="0"/>
  </pivotFields>
  <rowFields count="1">
    <field x="1"/>
  </rowFields>
  <rowItems count="13">
    <i>
      <x/>
    </i>
    <i>
      <x v="1"/>
    </i>
    <i>
      <x v="2"/>
    </i>
    <i>
      <x v="3"/>
    </i>
    <i>
      <x v="4"/>
    </i>
    <i>
      <x v="5"/>
    </i>
    <i>
      <x v="6"/>
    </i>
    <i>
      <x v="7"/>
    </i>
    <i>
      <x v="8"/>
    </i>
    <i>
      <x v="9"/>
    </i>
    <i>
      <x v="10"/>
    </i>
    <i>
      <x v="11"/>
    </i>
    <i>
      <x v="12"/>
    </i>
  </rowItems>
  <colFields count="1">
    <field x="-2"/>
  </colFields>
  <colItems count="2">
    <i>
      <x/>
    </i>
    <i i="1">
      <x v="1"/>
    </i>
  </colItems>
  <pageFields count="1">
    <pageField fld="0" hier="62" name="[Winter daily sitreps].[Year].&amp;[2020/21]" cap="2020/21"/>
  </pageFields>
  <dataFields count="2">
    <dataField name="Avail" fld="2" baseField="0" baseItem="0"/>
    <dataField name="Occ" fld="3"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0600-000002000000}" name="PivotTable27" cacheId="378" applyNumberFormats="0" applyBorderFormats="0" applyFontFormats="0" applyPatternFormats="0" applyAlignmentFormats="0" applyWidthHeightFormats="1" dataCaption="Values" tag="dd0981dd-8639-45ae-b501-a497897f676e" updatedVersion="6" minRefreshableVersion="3" useAutoFormatting="1" subtotalHiddenItems="1" rowGrandTotals="0" colGrandTotals="0" itemPrintTitles="1" createdVersion="4" indent="0" outline="1" outlineData="1" multipleFieldFilters="0">
  <location ref="AN5:AP1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dataField="1" showAll="0"/>
  </pivotFields>
  <rowFields count="1">
    <field x="1"/>
  </rowFields>
  <rowItems count="13">
    <i>
      <x/>
    </i>
    <i>
      <x v="1"/>
    </i>
    <i>
      <x v="2"/>
    </i>
    <i>
      <x v="3"/>
    </i>
    <i>
      <x v="4"/>
    </i>
    <i>
      <x v="5"/>
    </i>
    <i>
      <x v="6"/>
    </i>
    <i>
      <x v="7"/>
    </i>
    <i>
      <x v="8"/>
    </i>
    <i>
      <x v="9"/>
    </i>
    <i>
      <x v="10"/>
    </i>
    <i>
      <x v="11"/>
    </i>
    <i>
      <x v="12"/>
    </i>
  </rowItems>
  <colFields count="1">
    <field x="-2"/>
  </colFields>
  <colItems count="2">
    <i>
      <x/>
    </i>
    <i i="1">
      <x v="1"/>
    </i>
  </colItems>
  <pageFields count="1">
    <pageField fld="0" hier="62" name="[Winter daily sitreps].[Year].&amp;[2020/21]" cap="2020/21"/>
  </pageFields>
  <dataFields count="2">
    <dataField name="Avail" fld="2" baseField="0" baseItem="0"/>
    <dataField name="Occ" fld="3"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63D390FE-BA86-46BA-93A5-E9D2729B6088}" name="PivotTable2" cacheId="388" applyNumberFormats="0" applyBorderFormats="0" applyFontFormats="0" applyPatternFormats="0" applyAlignmentFormats="0" applyWidthHeightFormats="1" dataCaption="Values" tag="33a66804-b53a-4fd1-8b5d-c94cac675217" updatedVersion="6" minRefreshableVersion="3" useAutoFormatting="1" subtotalHiddenItems="1" rowGrandTotals="0" itemPrintTitles="1" createdVersion="4" indent="0" outline="1" outlineData="1" multipleFieldFilters="0">
  <location ref="DP5:DR96"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t="default"/>
      </items>
    </pivotField>
    <pivotField dataField="1" showAll="0"/>
    <pivotField dataField="1" showAll="0"/>
  </pivotFields>
  <rowFields count="1">
    <field x="1"/>
  </rowFields>
  <rowItems count="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rowItems>
  <colFields count="1">
    <field x="-2"/>
  </colFields>
  <colItems count="2">
    <i>
      <x/>
    </i>
    <i i="1">
      <x v="1"/>
    </i>
  </colItems>
  <pageFields count="1">
    <pageField fld="0" hier="62" name="[Winter daily sitreps].[Year].&amp;[2020/21]" cap="2020/21"/>
  </pageFields>
  <dataFields count="2">
    <dataField name="Sum of Adult CC beds avail" fld="2" baseField="0" baseItem="0"/>
    <dataField name="Sum of Adult CC beds occ" fld="3"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Winter daily sitreps]"/>
      </x15:pivotTableUISettings>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59344284-FCC0-4277-B70A-5E50576E6739}" name="PivotTable1" cacheId="389" applyNumberFormats="0" applyBorderFormats="0" applyFontFormats="0" applyPatternFormats="0" applyAlignmentFormats="0" applyWidthHeightFormats="1" dataCaption="Values" tag="29c289b3-68ce-42be-90bd-dc4a03a58e73" updatedVersion="6" minRefreshableVersion="3" useAutoFormatting="1" subtotalHiddenItems="1" itemPrintTitles="1" createdVersion="4" indent="0" outline="1" outlineData="1" multipleFieldFilters="0">
  <location ref="BZ5:CP21"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8">
        <item x="0"/>
        <item x="1"/>
        <item x="2"/>
        <item x="3"/>
        <item x="4"/>
        <item x="5"/>
        <item x="6"/>
        <item t="default"/>
      </items>
    </pivotField>
  </pivotFields>
  <rowFields count="1">
    <field x="3"/>
  </rowFields>
  <rowItems count="14">
    <i>
      <x/>
    </i>
    <i>
      <x v="1"/>
    </i>
    <i>
      <x v="2"/>
    </i>
    <i>
      <x v="3"/>
    </i>
    <i>
      <x v="4"/>
    </i>
    <i>
      <x v="5"/>
    </i>
    <i>
      <x v="6"/>
    </i>
    <i>
      <x v="7"/>
    </i>
    <i>
      <x v="8"/>
    </i>
    <i>
      <x v="9"/>
    </i>
    <i>
      <x v="10"/>
    </i>
    <i>
      <x v="11"/>
    </i>
    <i>
      <x v="12"/>
    </i>
    <i t="grand">
      <x/>
    </i>
  </rowItems>
  <colFields count="2">
    <field x="4"/>
    <field x="-2"/>
  </colFields>
  <colItems count="16">
    <i>
      <x/>
      <x/>
    </i>
    <i r="1" i="1">
      <x v="1"/>
    </i>
    <i>
      <x v="1"/>
      <x/>
    </i>
    <i r="1" i="1">
      <x v="1"/>
    </i>
    <i>
      <x v="2"/>
      <x/>
    </i>
    <i r="1" i="1">
      <x v="1"/>
    </i>
    <i>
      <x v="3"/>
      <x/>
    </i>
    <i r="1" i="1">
      <x v="1"/>
    </i>
    <i>
      <x v="4"/>
      <x/>
    </i>
    <i r="1" i="1">
      <x v="1"/>
    </i>
    <i>
      <x v="5"/>
      <x/>
    </i>
    <i r="1" i="1">
      <x v="1"/>
    </i>
    <i>
      <x v="6"/>
      <x/>
    </i>
    <i r="1" i="1">
      <x v="1"/>
    </i>
    <i t="grand">
      <x/>
    </i>
    <i t="grand" i="1">
      <x/>
    </i>
  </colItems>
  <pageFields count="1">
    <pageField fld="0" hier="62" name="[Winter daily sitreps].[Year].&amp;[2020/21]" cap="2020/21"/>
  </pageFields>
  <dataFields count="2">
    <dataField name="Avail" fld="1" baseField="0" baseItem="0"/>
    <dataField name="Occ" fld="2"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2">
    <colHierarchyUsage hierarchyUsage="6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Winter daily sitreps]"/>
      </x15:pivotTableUISettings>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0600-000003000000}" name="PivotTable28" cacheId="379" applyNumberFormats="0" applyBorderFormats="0" applyFontFormats="0" applyPatternFormats="0" applyAlignmentFormats="0" applyWidthHeightFormats="1" dataCaption="Values" tag="b9575012-05ef-4632-bede-b87d05a4d489" updatedVersion="6" minRefreshableVersion="3" useAutoFormatting="1" subtotalHiddenItems="1" itemPrintTitles="1" createdVersion="4" indent="0" outline="1" outlineData="1" multipleFieldFilters="0">
  <location ref="AT5:BJ21"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8">
        <item x="0"/>
        <item x="1"/>
        <item x="2"/>
        <item x="3"/>
        <item x="4"/>
        <item x="5"/>
        <item x="6"/>
        <item t="default"/>
      </items>
    </pivotField>
  </pivotFields>
  <rowFields count="1">
    <field x="3"/>
  </rowFields>
  <rowItems count="14">
    <i>
      <x/>
    </i>
    <i>
      <x v="1"/>
    </i>
    <i>
      <x v="2"/>
    </i>
    <i>
      <x v="3"/>
    </i>
    <i>
      <x v="4"/>
    </i>
    <i>
      <x v="5"/>
    </i>
    <i>
      <x v="6"/>
    </i>
    <i>
      <x v="7"/>
    </i>
    <i>
      <x v="8"/>
    </i>
    <i>
      <x v="9"/>
    </i>
    <i>
      <x v="10"/>
    </i>
    <i>
      <x v="11"/>
    </i>
    <i>
      <x v="12"/>
    </i>
    <i t="grand">
      <x/>
    </i>
  </rowItems>
  <colFields count="2">
    <field x="4"/>
    <field x="-2"/>
  </colFields>
  <colItems count="16">
    <i>
      <x/>
      <x/>
    </i>
    <i r="1" i="1">
      <x v="1"/>
    </i>
    <i>
      <x v="1"/>
      <x/>
    </i>
    <i r="1" i="1">
      <x v="1"/>
    </i>
    <i>
      <x v="2"/>
      <x/>
    </i>
    <i r="1" i="1">
      <x v="1"/>
    </i>
    <i>
      <x v="3"/>
      <x/>
    </i>
    <i r="1" i="1">
      <x v="1"/>
    </i>
    <i>
      <x v="4"/>
      <x/>
    </i>
    <i r="1" i="1">
      <x v="1"/>
    </i>
    <i>
      <x v="5"/>
      <x/>
    </i>
    <i r="1" i="1">
      <x v="1"/>
    </i>
    <i>
      <x v="6"/>
      <x/>
    </i>
    <i r="1" i="1">
      <x v="1"/>
    </i>
    <i t="grand">
      <x/>
    </i>
    <i t="grand" i="1">
      <x/>
    </i>
  </colItems>
  <pageFields count="1">
    <pageField fld="0" hier="62" name="[Winter daily sitreps].[Year].&amp;[2020/21]" cap="2020/21"/>
  </pageFields>
  <dataFields count="2">
    <dataField name="Avail" fld="1" baseField="0" baseItem="0"/>
    <dataField name="Occ" fld="2"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2">
    <colHierarchyUsage hierarchyUsage="6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1" cacheId="361" applyNumberFormats="0" applyBorderFormats="0" applyFontFormats="0" applyPatternFormats="0" applyAlignmentFormats="0" applyWidthHeightFormats="1" dataCaption="Values" tag="8092ca98-d055-401c-855a-87a650e1589b" updatedVersion="6" minRefreshableVersion="3" useAutoFormatting="1" subtotalHiddenItems="1" rowGrandTotals="0" colGrandTotals="0" itemPrintTitles="1" createdVersion="4" indent="0" outline="1" outlineData="1" multipleFieldFilters="0">
  <location ref="B5:D1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dataField="1" showAll="0"/>
  </pivotFields>
  <rowFields count="1">
    <field x="1"/>
  </rowFields>
  <rowItems count="13">
    <i>
      <x/>
    </i>
    <i>
      <x v="1"/>
    </i>
    <i>
      <x v="2"/>
    </i>
    <i>
      <x v="3"/>
    </i>
    <i>
      <x v="4"/>
    </i>
    <i>
      <x v="5"/>
    </i>
    <i>
      <x v="6"/>
    </i>
    <i>
      <x v="7"/>
    </i>
    <i>
      <x v="8"/>
    </i>
    <i>
      <x v="9"/>
    </i>
    <i>
      <x v="10"/>
    </i>
    <i>
      <x v="11"/>
    </i>
    <i>
      <x v="12"/>
    </i>
  </rowItems>
  <colFields count="1">
    <field x="-2"/>
  </colFields>
  <colItems count="2">
    <i>
      <x/>
    </i>
    <i i="1">
      <x v="1"/>
    </i>
  </colItems>
  <pageFields count="1">
    <pageField fld="0" hier="62" name="[Winter daily sitreps].[Year].&amp;[2020/21]" cap="2020/21"/>
  </pageFields>
  <dataFields count="2">
    <dataField name="Sum of Paed Int Care Avail" fld="2" baseField="0" baseItem="0"/>
    <dataField name="Sum of Paed Int Care Occ" fld="3"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3000000}" name="PivotTable9" cacheId="355" applyNumberFormats="0" applyBorderFormats="0" applyFontFormats="0" applyPatternFormats="0" applyAlignmentFormats="0" applyWidthHeightFormats="1" dataCaption="Values" tag="7cdba49d-4c8e-4517-a4e1-6ff5fedbb3a1" updatedVersion="6" minRefreshableVersion="3" useAutoFormatting="1" subtotalHiddenItems="1" itemPrintTitles="1" createdVersion="4" indent="0" outline="1" outlineData="1" multipleFieldFilters="0">
  <location ref="E5:M20" firstHeaderRow="1" firstDataRow="2" firstDataCol="1" rowPageCount="1" colPageCount="1"/>
  <pivotFields count="4">
    <pivotField dataField="1" showAll="0"/>
    <pivotField axis="axisPage" allDrilled="1" showAll="0" dataSourceSort="1" defaultAttributeDrillState="1">
      <items count="1">
        <item t="default"/>
      </items>
    </pivotField>
    <pivotField axis="axisCol" allDrilled="1" showAll="0" sortType="ascending" defaultAttributeDrillState="1">
      <items count="8">
        <item x="0"/>
        <item x="1"/>
        <item x="2"/>
        <item x="3"/>
        <item x="4"/>
        <item x="5"/>
        <item x="6"/>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s>
  <rowFields count="1">
    <field x="3"/>
  </rowFields>
  <rowItems count="14">
    <i>
      <x/>
    </i>
    <i>
      <x v="1"/>
    </i>
    <i>
      <x v="2"/>
    </i>
    <i>
      <x v="3"/>
    </i>
    <i>
      <x v="4"/>
    </i>
    <i>
      <x v="5"/>
    </i>
    <i>
      <x v="6"/>
    </i>
    <i>
      <x v="7"/>
    </i>
    <i>
      <x v="8"/>
    </i>
    <i>
      <x v="9"/>
    </i>
    <i>
      <x v="10"/>
    </i>
    <i>
      <x v="11"/>
    </i>
    <i>
      <x v="12"/>
    </i>
    <i t="grand">
      <x/>
    </i>
  </rowItems>
  <colFields count="1">
    <field x="2"/>
  </colFields>
  <colItems count="8">
    <i>
      <x/>
    </i>
    <i>
      <x v="1"/>
    </i>
    <i>
      <x v="2"/>
    </i>
    <i>
      <x v="3"/>
    </i>
    <i>
      <x v="4"/>
    </i>
    <i>
      <x v="5"/>
    </i>
    <i>
      <x v="6"/>
    </i>
    <i t="grand">
      <x/>
    </i>
  </colItems>
  <pageFields count="1">
    <pageField fld="1" hier="62" name="[Winter daily sitreps].[Year].&amp;[2020/21]" cap="2020/21"/>
  </pageFields>
  <dataFields count="1">
    <dataField name="Sum of AE diverts" fld="0"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1">
    <colHierarchyUsage hierarchyUsage="6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Winter daily sitreps]"/>
      </x15:pivotTableUISettings>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0700-000003000000}" name="PivotTable4" cacheId="364" applyNumberFormats="0" applyBorderFormats="0" applyFontFormats="0" applyPatternFormats="0" applyAlignmentFormats="0" applyWidthHeightFormats="1" dataCaption="Values" tag="e4f2c472-a146-4ee5-be49-5287088b7209" updatedVersion="6" minRefreshableVersion="3" useAutoFormatting="1" subtotalHiddenItems="1" itemPrintTitles="1" createdVersion="4" indent="0" outline="1" outlineData="1" multipleFieldFilters="0">
  <location ref="AT5:BJ21"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8">
        <item x="0"/>
        <item x="1"/>
        <item x="2"/>
        <item x="3"/>
        <item x="4"/>
        <item x="5"/>
        <item x="6"/>
        <item t="default"/>
      </items>
    </pivotField>
    <pivotField dataField="1" showAll="0"/>
    <pivotField dataField="1" showAll="0"/>
  </pivotFields>
  <rowFields count="1">
    <field x="1"/>
  </rowFields>
  <rowItems count="14">
    <i>
      <x/>
    </i>
    <i>
      <x v="1"/>
    </i>
    <i>
      <x v="2"/>
    </i>
    <i>
      <x v="3"/>
    </i>
    <i>
      <x v="4"/>
    </i>
    <i>
      <x v="5"/>
    </i>
    <i>
      <x v="6"/>
    </i>
    <i>
      <x v="7"/>
    </i>
    <i>
      <x v="8"/>
    </i>
    <i>
      <x v="9"/>
    </i>
    <i>
      <x v="10"/>
    </i>
    <i>
      <x v="11"/>
    </i>
    <i>
      <x v="12"/>
    </i>
    <i t="grand">
      <x/>
    </i>
  </rowItems>
  <colFields count="2">
    <field x="2"/>
    <field x="-2"/>
  </colFields>
  <colItems count="16">
    <i>
      <x/>
      <x/>
    </i>
    <i r="1" i="1">
      <x v="1"/>
    </i>
    <i>
      <x v="1"/>
      <x/>
    </i>
    <i r="1" i="1">
      <x v="1"/>
    </i>
    <i>
      <x v="2"/>
      <x/>
    </i>
    <i r="1" i="1">
      <x v="1"/>
    </i>
    <i>
      <x v="3"/>
      <x/>
    </i>
    <i r="1" i="1">
      <x v="1"/>
    </i>
    <i>
      <x v="4"/>
      <x/>
    </i>
    <i r="1" i="1">
      <x v="1"/>
    </i>
    <i>
      <x v="5"/>
      <x/>
    </i>
    <i r="1" i="1">
      <x v="1"/>
    </i>
    <i>
      <x v="6"/>
      <x/>
    </i>
    <i r="1" i="1">
      <x v="1"/>
    </i>
    <i t="grand">
      <x/>
    </i>
    <i t="grand" i="1">
      <x/>
    </i>
  </colItems>
  <pageFields count="1">
    <pageField fld="0" hier="62" name="[Winter daily sitreps].[Year].&amp;[2020/21]" cap="2020/21"/>
  </pageFields>
  <dataFields count="2">
    <dataField name="Sum of Paed Int Care Avail" fld="3" baseField="0" baseItem="0"/>
    <dataField name="Sum of Paed Int Care Occ" fld="4"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2">
    <colHierarchyUsage hierarchyUsage="6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3" cacheId="363" applyNumberFormats="0" applyBorderFormats="0" applyFontFormats="0" applyPatternFormats="0" applyAlignmentFormats="0" applyWidthHeightFormats="1" dataCaption="Values" tag="ba0b1b6b-253c-4af3-8da1-40f03654e889" updatedVersion="6" minRefreshableVersion="3" useAutoFormatting="1" subtotalHiddenItems="1" rowGrandTotals="0" colGrandTotals="0" itemPrintTitles="1" createdVersion="4" indent="0" outline="1" outlineData="1" multipleFieldFilters="0">
  <location ref="AM5:AO1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dataField="1" showAll="0"/>
  </pivotFields>
  <rowFields count="1">
    <field x="1"/>
  </rowFields>
  <rowItems count="13">
    <i>
      <x/>
    </i>
    <i>
      <x v="1"/>
    </i>
    <i>
      <x v="2"/>
    </i>
    <i>
      <x v="3"/>
    </i>
    <i>
      <x v="4"/>
    </i>
    <i>
      <x v="5"/>
    </i>
    <i>
      <x v="6"/>
    </i>
    <i>
      <x v="7"/>
    </i>
    <i>
      <x v="8"/>
    </i>
    <i>
      <x v="9"/>
    </i>
    <i>
      <x v="10"/>
    </i>
    <i>
      <x v="11"/>
    </i>
    <i>
      <x v="12"/>
    </i>
  </rowItems>
  <colFields count="1">
    <field x="-2"/>
  </colFields>
  <colItems count="2">
    <i>
      <x/>
    </i>
    <i i="1">
      <x v="1"/>
    </i>
  </colItems>
  <pageFields count="1">
    <pageField fld="0" hier="62" name="[Winter daily sitreps].[Year].&amp;[2020/21]" cap="2020/21"/>
  </pageFields>
  <dataFields count="2">
    <dataField name="Sum of Paed Int Care Avail" fld="2" baseField="0" baseItem="0"/>
    <dataField name="Sum of Paed Int Care Occ" fld="3"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2" cacheId="362" applyNumberFormats="0" applyBorderFormats="0" applyFontFormats="0" applyPatternFormats="0" applyAlignmentFormats="0" applyWidthHeightFormats="1" dataCaption="Values" tag="cb83e953-d3a9-4433-84e3-86f132084549" updatedVersion="6" minRefreshableVersion="3" useAutoFormatting="1" subtotalHiddenItems="1" itemPrintTitles="1" createdVersion="4" indent="0" outline="1" outlineData="1" multipleFieldFilters="0">
  <location ref="H5:X21"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8">
        <item x="0"/>
        <item x="1"/>
        <item x="2"/>
        <item x="3"/>
        <item x="4"/>
        <item x="5"/>
        <item x="6"/>
        <item t="default"/>
      </items>
    </pivotField>
    <pivotField dataField="1" showAll="0"/>
    <pivotField dataField="1" showAll="0"/>
  </pivotFields>
  <rowFields count="1">
    <field x="1"/>
  </rowFields>
  <rowItems count="14">
    <i>
      <x/>
    </i>
    <i>
      <x v="1"/>
    </i>
    <i>
      <x v="2"/>
    </i>
    <i>
      <x v="3"/>
    </i>
    <i>
      <x v="4"/>
    </i>
    <i>
      <x v="5"/>
    </i>
    <i>
      <x v="6"/>
    </i>
    <i>
      <x v="7"/>
    </i>
    <i>
      <x v="8"/>
    </i>
    <i>
      <x v="9"/>
    </i>
    <i>
      <x v="10"/>
    </i>
    <i>
      <x v="11"/>
    </i>
    <i>
      <x v="12"/>
    </i>
    <i t="grand">
      <x/>
    </i>
  </rowItems>
  <colFields count="2">
    <field x="2"/>
    <field x="-2"/>
  </colFields>
  <colItems count="16">
    <i>
      <x/>
      <x/>
    </i>
    <i r="1" i="1">
      <x v="1"/>
    </i>
    <i>
      <x v="1"/>
      <x/>
    </i>
    <i r="1" i="1">
      <x v="1"/>
    </i>
    <i>
      <x v="2"/>
      <x/>
    </i>
    <i r="1" i="1">
      <x v="1"/>
    </i>
    <i>
      <x v="3"/>
      <x/>
    </i>
    <i r="1" i="1">
      <x v="1"/>
    </i>
    <i>
      <x v="4"/>
      <x/>
    </i>
    <i r="1" i="1">
      <x v="1"/>
    </i>
    <i>
      <x v="5"/>
      <x/>
    </i>
    <i r="1" i="1">
      <x v="1"/>
    </i>
    <i>
      <x v="6"/>
      <x/>
    </i>
    <i r="1" i="1">
      <x v="1"/>
    </i>
    <i t="grand">
      <x/>
    </i>
    <i t="grand" i="1">
      <x/>
    </i>
  </colItems>
  <pageFields count="1">
    <pageField fld="0" hier="62" name="[Winter daily sitreps].[Year].&amp;[2020/21]" cap="2020/21"/>
  </pageFields>
  <dataFields count="2">
    <dataField name="Sum of Paed Int Care Avail" fld="3" baseField="0" baseItem="0"/>
    <dataField name="Sum of Paed Int Care Occ" fld="4"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2">
    <colHierarchyUsage hierarchyUsage="6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0800-000003000000}" name="PivotTable9" cacheId="382" applyNumberFormats="0" applyBorderFormats="0" applyFontFormats="0" applyPatternFormats="0" applyAlignmentFormats="0" applyWidthHeightFormats="1" dataCaption="Values" tag="b0ef4df9-2980-427c-9277-09e19a1bf0e0" updatedVersion="6" minRefreshableVersion="3" useAutoFormatting="1" subtotalHiddenItems="1" rowGrandTotals="0" colGrandTotals="0" itemPrintTitles="1" createdVersion="4" indent="0" outline="1" outlineData="1" multipleFieldFilters="0">
  <location ref="AM5:AO1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dataField="1" showAll="0"/>
  </pivotFields>
  <rowFields count="1">
    <field x="1"/>
  </rowFields>
  <rowItems count="13">
    <i>
      <x/>
    </i>
    <i>
      <x v="1"/>
    </i>
    <i>
      <x v="2"/>
    </i>
    <i>
      <x v="3"/>
    </i>
    <i>
      <x v="4"/>
    </i>
    <i>
      <x v="5"/>
    </i>
    <i>
      <x v="6"/>
    </i>
    <i>
      <x v="7"/>
    </i>
    <i>
      <x v="8"/>
    </i>
    <i>
      <x v="9"/>
    </i>
    <i>
      <x v="10"/>
    </i>
    <i>
      <x v="11"/>
    </i>
    <i>
      <x v="12"/>
    </i>
  </rowItems>
  <colFields count="1">
    <field x="-2"/>
  </colFields>
  <colItems count="2">
    <i>
      <x/>
    </i>
    <i i="1">
      <x v="1"/>
    </i>
  </colItems>
  <pageFields count="1">
    <pageField fld="0" hier="62" name="[Winter daily sitreps].[Year].&amp;[2020/21]" cap="2020/21"/>
  </pageFields>
  <dataFields count="2">
    <dataField name="Sum of Neo Int Care Avail" fld="2" baseField="0" baseItem="0"/>
    <dataField name="Sum of Neo Int Care occ" fld="3"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Average of Neo Int Care Avail"/>
    <pivotHierarchy dragToRow="0" dragToCol="0" dragToPage="0" dragToData="1" caption="Average of Neo Int Care occ"/>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PivotTable6" cacheId="380" applyNumberFormats="0" applyBorderFormats="0" applyFontFormats="0" applyPatternFormats="0" applyAlignmentFormats="0" applyWidthHeightFormats="1" dataCaption="Values" tag="33689785-b65f-4d09-8f69-70383ef188d2" updatedVersion="6" minRefreshableVersion="3" useAutoFormatting="1" subtotalHiddenItems="1" rowGrandTotals="0" colGrandTotals="0" itemPrintTitles="1" createdVersion="4" indent="0" outline="1" outlineData="1" multipleFieldFilters="0">
  <location ref="B5:D1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dataField="1" showAll="0"/>
  </pivotFields>
  <rowFields count="1">
    <field x="1"/>
  </rowFields>
  <rowItems count="13">
    <i>
      <x/>
    </i>
    <i>
      <x v="1"/>
    </i>
    <i>
      <x v="2"/>
    </i>
    <i>
      <x v="3"/>
    </i>
    <i>
      <x v="4"/>
    </i>
    <i>
      <x v="5"/>
    </i>
    <i>
      <x v="6"/>
    </i>
    <i>
      <x v="7"/>
    </i>
    <i>
      <x v="8"/>
    </i>
    <i>
      <x v="9"/>
    </i>
    <i>
      <x v="10"/>
    </i>
    <i>
      <x v="11"/>
    </i>
    <i>
      <x v="12"/>
    </i>
  </rowItems>
  <colFields count="1">
    <field x="-2"/>
  </colFields>
  <colItems count="2">
    <i>
      <x/>
    </i>
    <i i="1">
      <x v="1"/>
    </i>
  </colItems>
  <pageFields count="1">
    <pageField fld="0" hier="62" name="[Winter daily sitreps].[Year].&amp;[2020/21]" cap="2020/21"/>
  </pageFields>
  <dataFields count="2">
    <dataField name="Sum of Neo Int Care Avail" fld="2" baseField="0" baseItem="0"/>
    <dataField name="Sum of Neo Int Care occ" fld="3"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0800-000002000000}" name="PivotTable8" cacheId="381" applyNumberFormats="0" applyBorderFormats="0" applyFontFormats="0" applyPatternFormats="0" applyAlignmentFormats="0" applyWidthHeightFormats="1" dataCaption="Values" tag="a2bb9c2e-6606-40c6-8988-4a0b49a15b1b" updatedVersion="6" minRefreshableVersion="3" useAutoFormatting="1" subtotalHiddenItems="1" itemPrintTitles="1" createdVersion="4" indent="0" outline="1" outlineData="1" multipleFieldFilters="0">
  <location ref="H5:X21"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8">
        <item x="0"/>
        <item x="1"/>
        <item x="2"/>
        <item x="3"/>
        <item x="4"/>
        <item x="5"/>
        <item x="6"/>
        <item t="default"/>
      </items>
    </pivotField>
    <pivotField dataField="1" showAll="0"/>
    <pivotField dataField="1" showAll="0"/>
  </pivotFields>
  <rowFields count="1">
    <field x="1"/>
  </rowFields>
  <rowItems count="14">
    <i>
      <x/>
    </i>
    <i>
      <x v="1"/>
    </i>
    <i>
      <x v="2"/>
    </i>
    <i>
      <x v="3"/>
    </i>
    <i>
      <x v="4"/>
    </i>
    <i>
      <x v="5"/>
    </i>
    <i>
      <x v="6"/>
    </i>
    <i>
      <x v="7"/>
    </i>
    <i>
      <x v="8"/>
    </i>
    <i>
      <x v="9"/>
    </i>
    <i>
      <x v="10"/>
    </i>
    <i>
      <x v="11"/>
    </i>
    <i>
      <x v="12"/>
    </i>
    <i t="grand">
      <x/>
    </i>
  </rowItems>
  <colFields count="2">
    <field x="2"/>
    <field x="-2"/>
  </colFields>
  <colItems count="16">
    <i>
      <x/>
      <x/>
    </i>
    <i r="1" i="1">
      <x v="1"/>
    </i>
    <i>
      <x v="1"/>
      <x/>
    </i>
    <i r="1" i="1">
      <x v="1"/>
    </i>
    <i>
      <x v="2"/>
      <x/>
    </i>
    <i r="1" i="1">
      <x v="1"/>
    </i>
    <i>
      <x v="3"/>
      <x/>
    </i>
    <i r="1" i="1">
      <x v="1"/>
    </i>
    <i>
      <x v="4"/>
      <x/>
    </i>
    <i r="1" i="1">
      <x v="1"/>
    </i>
    <i>
      <x v="5"/>
      <x/>
    </i>
    <i r="1" i="1">
      <x v="1"/>
    </i>
    <i>
      <x v="6"/>
      <x/>
    </i>
    <i r="1" i="1">
      <x v="1"/>
    </i>
    <i t="grand">
      <x/>
    </i>
    <i t="grand" i="1">
      <x/>
    </i>
  </colItems>
  <pageFields count="1">
    <pageField fld="0" hier="62" name="[Winter daily sitreps].[Year].&amp;[2020/21]" cap="2020/21"/>
  </pageFields>
  <dataFields count="2">
    <dataField name="Sum of Neo Int Care Avail" fld="3" baseField="0" baseItem="0"/>
    <dataField name="Sum of Neo Int Care occ" fld="4"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2">
    <colHierarchyUsage hierarchyUsage="6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10" cacheId="383" applyNumberFormats="0" applyBorderFormats="0" applyFontFormats="0" applyPatternFormats="0" applyAlignmentFormats="0" applyWidthHeightFormats="1" dataCaption="Values" tag="63d379ad-3316-4220-96ab-b24ff7ed409f" updatedVersion="6" minRefreshableVersion="3" useAutoFormatting="1" subtotalHiddenItems="1" itemPrintTitles="1" createdVersion="4" indent="0" outline="1" outlineData="1" multipleFieldFilters="0">
  <location ref="AS5:BI21"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8">
        <item x="0"/>
        <item x="1"/>
        <item x="2"/>
        <item x="3"/>
        <item x="4"/>
        <item x="5"/>
        <item x="6"/>
        <item t="default"/>
      </items>
    </pivotField>
    <pivotField dataField="1" showAll="0"/>
    <pivotField dataField="1" showAll="0"/>
  </pivotFields>
  <rowFields count="1">
    <field x="1"/>
  </rowFields>
  <rowItems count="14">
    <i>
      <x/>
    </i>
    <i>
      <x v="1"/>
    </i>
    <i>
      <x v="2"/>
    </i>
    <i>
      <x v="3"/>
    </i>
    <i>
      <x v="4"/>
    </i>
    <i>
      <x v="5"/>
    </i>
    <i>
      <x v="6"/>
    </i>
    <i>
      <x v="7"/>
    </i>
    <i>
      <x v="8"/>
    </i>
    <i>
      <x v="9"/>
    </i>
    <i>
      <x v="10"/>
    </i>
    <i>
      <x v="11"/>
    </i>
    <i>
      <x v="12"/>
    </i>
    <i t="grand">
      <x/>
    </i>
  </rowItems>
  <colFields count="2">
    <field x="2"/>
    <field x="-2"/>
  </colFields>
  <colItems count="16">
    <i>
      <x/>
      <x/>
    </i>
    <i r="1" i="1">
      <x v="1"/>
    </i>
    <i>
      <x v="1"/>
      <x/>
    </i>
    <i r="1" i="1">
      <x v="1"/>
    </i>
    <i>
      <x v="2"/>
      <x/>
    </i>
    <i r="1" i="1">
      <x v="1"/>
    </i>
    <i>
      <x v="3"/>
      <x/>
    </i>
    <i r="1" i="1">
      <x v="1"/>
    </i>
    <i>
      <x v="4"/>
      <x/>
    </i>
    <i r="1" i="1">
      <x v="1"/>
    </i>
    <i>
      <x v="5"/>
      <x/>
    </i>
    <i r="1" i="1">
      <x v="1"/>
    </i>
    <i>
      <x v="6"/>
      <x/>
    </i>
    <i r="1" i="1">
      <x v="1"/>
    </i>
    <i t="grand">
      <x/>
    </i>
    <i t="grand" i="1">
      <x/>
    </i>
  </colItems>
  <pageFields count="1">
    <pageField fld="0" hier="62" name="[Winter daily sitreps].[Year].&amp;[2020/21]" cap="2020/21"/>
  </pageFields>
  <dataFields count="2">
    <dataField name="Sum of Neo Int Care Avail" fld="3" baseField="0" baseItem="0"/>
    <dataField name="Sum of Neo Int Care occ" fld="4"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2">
    <colHierarchyUsage hierarchyUsage="6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13" cacheId="386" applyNumberFormats="0" applyBorderFormats="0" applyFontFormats="0" applyPatternFormats="0" applyAlignmentFormats="0" applyWidthHeightFormats="1" dataCaption="Values" tag="3cb5cdca-36b5-486f-a20e-39ce49e1e44d" updatedVersion="6" minRefreshableVersion="3" useAutoFormatting="1" subtotalHiddenItems="1" rowGrandTotals="0" colGrandTotals="0" itemPrintTitles="1" createdVersion="4" indent="0" outline="1" outlineData="1" multipleFieldFilters="0">
  <location ref="BK5:BX133"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14">
        <item x="0"/>
        <item x="1"/>
        <item x="2"/>
        <item x="3"/>
        <item x="4"/>
        <item x="5"/>
        <item x="6"/>
        <item x="7"/>
        <item x="8"/>
        <item x="9"/>
        <item x="10"/>
        <item x="11"/>
        <item x="12"/>
        <item t="default"/>
      </items>
    </pivotField>
    <pivotField axis="axisRow" allDrilled="1" showAll="0" dataSourceSort="1" defaultAttributeDrillState="1">
      <items count="1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t="default"/>
      </items>
    </pivotField>
    <pivotField dataField="1" showAll="0"/>
  </pivotFields>
  <rowFields count="1">
    <field x="2"/>
  </rowFields>
  <rowItems count="12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rowItems>
  <colFields count="1">
    <field x="1"/>
  </colFields>
  <colItems count="13">
    <i>
      <x/>
    </i>
    <i>
      <x v="1"/>
    </i>
    <i>
      <x v="2"/>
    </i>
    <i>
      <x v="3"/>
    </i>
    <i>
      <x v="4"/>
    </i>
    <i>
      <x v="5"/>
    </i>
    <i>
      <x v="6"/>
    </i>
    <i>
      <x v="7"/>
    </i>
    <i>
      <x v="8"/>
    </i>
    <i>
      <x v="9"/>
    </i>
    <i>
      <x v="10"/>
    </i>
    <i>
      <x v="11"/>
    </i>
    <i>
      <x v="12"/>
    </i>
  </colItems>
  <pageFields count="1">
    <pageField fld="0" hier="62" name="[Winter daily sitreps].[Year].&amp;[2020/21]" cap="2020/21"/>
  </pageFields>
  <dataFields count="1">
    <dataField name="Sum of Amb delays over 60 mins" fld="3"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caption="Sum of Amb delays 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5"/>
  </rowHierarchiesUsage>
  <colHierarchiesUsage count="1">
    <colHierarchyUsage hierarchyUsage="6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2" cacheId="385" applyNumberFormats="0" applyBorderFormats="0" applyFontFormats="0" applyPatternFormats="0" applyAlignmentFormats="0" applyWidthHeightFormats="1" dataCaption="Values" tag="eaf9b400-a2bd-43d0-8ba9-4bd3d8b1e3c8" updatedVersion="6" minRefreshableVersion="3" useAutoFormatting="1" subtotalHiddenItems="1" rowGrandTotals="0" itemPrintTitles="1" createdVersion="4" indent="0" outline="1" outlineData="1" multipleFieldFilters="0">
  <location ref="X5:AV20" firstHeaderRow="1" firstDataRow="3" firstDataCol="1" rowPageCount="1" colPageCount="1"/>
  <pivotFields count="6">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8">
        <item x="0"/>
        <item x="1"/>
        <item x="2"/>
        <item x="3"/>
        <item x="4"/>
        <item x="5"/>
        <item x="6"/>
        <item t="default"/>
      </items>
    </pivotField>
    <pivotField dataField="1" showAll="0"/>
    <pivotField dataField="1" showAll="0"/>
    <pivotField dataField="1" showAll="0"/>
  </pivotFields>
  <rowFields count="1">
    <field x="1"/>
  </rowFields>
  <rowItems count="13">
    <i>
      <x/>
    </i>
    <i>
      <x v="1"/>
    </i>
    <i>
      <x v="2"/>
    </i>
    <i>
      <x v="3"/>
    </i>
    <i>
      <x v="4"/>
    </i>
    <i>
      <x v="5"/>
    </i>
    <i>
      <x v="6"/>
    </i>
    <i>
      <x v="7"/>
    </i>
    <i>
      <x v="8"/>
    </i>
    <i>
      <x v="9"/>
    </i>
    <i>
      <x v="10"/>
    </i>
    <i>
      <x v="11"/>
    </i>
    <i>
      <x v="12"/>
    </i>
  </rowItems>
  <colFields count="2">
    <field x="2"/>
    <field x="-2"/>
  </colFields>
  <colItems count="24">
    <i>
      <x/>
      <x/>
    </i>
    <i r="1" i="1">
      <x v="1"/>
    </i>
    <i r="1" i="2">
      <x v="2"/>
    </i>
    <i>
      <x v="1"/>
      <x/>
    </i>
    <i r="1" i="1">
      <x v="1"/>
    </i>
    <i r="1" i="2">
      <x v="2"/>
    </i>
    <i>
      <x v="2"/>
      <x/>
    </i>
    <i r="1" i="1">
      <x v="1"/>
    </i>
    <i r="1" i="2">
      <x v="2"/>
    </i>
    <i>
      <x v="3"/>
      <x/>
    </i>
    <i r="1" i="1">
      <x v="1"/>
    </i>
    <i r="1" i="2">
      <x v="2"/>
    </i>
    <i>
      <x v="4"/>
      <x/>
    </i>
    <i r="1" i="1">
      <x v="1"/>
    </i>
    <i r="1" i="2">
      <x v="2"/>
    </i>
    <i>
      <x v="5"/>
      <x/>
    </i>
    <i r="1" i="1">
      <x v="1"/>
    </i>
    <i r="1" i="2">
      <x v="2"/>
    </i>
    <i>
      <x v="6"/>
      <x/>
    </i>
    <i r="1" i="1">
      <x v="1"/>
    </i>
    <i r="1" i="2">
      <x v="2"/>
    </i>
    <i t="grand">
      <x/>
    </i>
    <i t="grand" i="1">
      <x/>
    </i>
    <i t="grand" i="2">
      <x/>
    </i>
  </colItems>
  <pageFields count="1">
    <pageField fld="0" hier="62" name="[Winter daily sitreps].[Year].&amp;[2020/21]" cap="2020/21"/>
  </pageFields>
  <dataFields count="3">
    <dataField name="Sum of Amb arrivals" fld="5" baseField="0" baseItem="0"/>
    <dataField name="30-60 mins" fld="3" baseField="0" baseItem="0"/>
    <dataField name="over 60 mins" fld="4"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caption="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2">
    <colHierarchyUsage hierarchyUsage="6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1" cacheId="384" applyNumberFormats="0" applyBorderFormats="0" applyFontFormats="0" applyPatternFormats="0" applyAlignmentFormats="0" applyWidthHeightFormats="1" dataCaption="Values" tag="164ea269-92fe-49b9-9646-baab7f3a2050" updatedVersion="6" minRefreshableVersion="3" useAutoFormatting="1" subtotalHiddenItems="1" rowGrandTotals="0" itemPrintTitles="1" createdVersion="4" indent="0" outline="1" outlineData="1" multipleFieldFilters="0">
  <location ref="B5:J19"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axis="axisCol" allDrilled="1" showAll="0" dataSourceSort="1" defaultAttributeDrillState="1">
      <items count="8">
        <item x="0"/>
        <item x="1"/>
        <item x="2"/>
        <item x="3"/>
        <item x="4"/>
        <item x="5"/>
        <item x="6"/>
        <item t="default"/>
      </items>
    </pivotField>
  </pivotFields>
  <rowFields count="1">
    <field x="1"/>
  </rowFields>
  <rowItems count="13">
    <i>
      <x/>
    </i>
    <i>
      <x v="1"/>
    </i>
    <i>
      <x v="2"/>
    </i>
    <i>
      <x v="3"/>
    </i>
    <i>
      <x v="4"/>
    </i>
    <i>
      <x v="5"/>
    </i>
    <i>
      <x v="6"/>
    </i>
    <i>
      <x v="7"/>
    </i>
    <i>
      <x v="8"/>
    </i>
    <i>
      <x v="9"/>
    </i>
    <i>
      <x v="10"/>
    </i>
    <i>
      <x v="11"/>
    </i>
    <i>
      <x v="12"/>
    </i>
  </rowItems>
  <colFields count="1">
    <field x="3"/>
  </colFields>
  <colItems count="8">
    <i>
      <x/>
    </i>
    <i>
      <x v="1"/>
    </i>
    <i>
      <x v="2"/>
    </i>
    <i>
      <x v="3"/>
    </i>
    <i>
      <x v="4"/>
    </i>
    <i>
      <x v="5"/>
    </i>
    <i>
      <x v="6"/>
    </i>
    <i t="grand">
      <x/>
    </i>
  </colItems>
  <pageFields count="1">
    <pageField fld="0" hier="62" name="[Winter daily sitreps].[Year].&amp;[2020/21]" cap="2020/21"/>
  </pageFields>
  <dataFields count="1">
    <dataField name="Sum of Amb arrivals" fld="2"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1">
    <colHierarchyUsage hierarchyUsage="6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PivotTable8" cacheId="354" applyNumberFormats="0" applyBorderFormats="0" applyFontFormats="0" applyPatternFormats="0" applyAlignmentFormats="0" applyWidthHeightFormats="1" dataCaption="Values" tag="c1f45b27-5377-4b85-a5cc-8347f81f52db" updatedVersion="6" minRefreshableVersion="3" useAutoFormatting="1" subtotalHiddenItems="1" itemPrintTitles="1" createdVersion="4" indent="0" outline="1" outlineData="1" multipleFieldFilters="0">
  <location ref="B5:C19" firstHeaderRow="1" firstDataRow="1" firstDataCol="1" rowPageCount="1" colPageCount="1"/>
  <pivotFields count="3">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 axis="axisPage" allDrilled="1" showAll="0" dataSourceSort="1" defaultAttributeDrillState="1">
      <items count="1">
        <item t="default"/>
      </items>
    </pivotField>
  </pivotFields>
  <rowFields count="1">
    <field x="1"/>
  </rowFields>
  <rowItems count="14">
    <i>
      <x/>
    </i>
    <i>
      <x v="1"/>
    </i>
    <i>
      <x v="2"/>
    </i>
    <i>
      <x v="3"/>
    </i>
    <i>
      <x v="4"/>
    </i>
    <i>
      <x v="5"/>
    </i>
    <i>
      <x v="6"/>
    </i>
    <i>
      <x v="7"/>
    </i>
    <i>
      <x v="8"/>
    </i>
    <i>
      <x v="9"/>
    </i>
    <i>
      <x v="10"/>
    </i>
    <i>
      <x v="11"/>
    </i>
    <i>
      <x v="12"/>
    </i>
    <i t="grand">
      <x/>
    </i>
  </rowItems>
  <colItems count="1">
    <i/>
  </colItems>
  <pageFields count="1">
    <pageField fld="2" hier="62" name="[Winter daily sitreps].[Year].&amp;[2020/21]" cap="2020/21"/>
  </pageFields>
  <dataFields count="1">
    <dataField name="Sum of AE diverts" fld="0"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200-000003000000}" name="PivotTable13" cacheId="387" applyNumberFormats="0" applyBorderFormats="0" applyFontFormats="0" applyPatternFormats="0" applyAlignmentFormats="0" applyWidthHeightFormats="1" dataCaption="Values" tag="f3125be8-0268-4aab-a20c-9359a97ff270" updatedVersion="6" minRefreshableVersion="3" useAutoFormatting="1" subtotalHiddenItems="1" rowGrandTotals="0" itemPrintTitles="1" createdVersion="4" indent="0" outline="1" outlineData="1" multipleFieldFilters="0">
  <location ref="BG6:BJ97" firstHeaderRow="0" firstDataRow="1" firstDataCol="1" rowPageCount="1" colPageCount="1"/>
  <pivotFields count="5">
    <pivotField axis="axisPage" allDrilled="1" showAll="0" dataSourceSort="1" defaultAttributeDrillState="1">
      <items count="1">
        <item t="default"/>
      </items>
    </pivotField>
    <pivotField dataField="1" showAll="0"/>
    <pivotField dataField="1" showAll="0"/>
    <pivotField dataField="1" showAll="0"/>
    <pivotField axis="axisRow" allDrilled="1" showAll="0" dataSourceSort="1" defaultAttributeDrillState="1">
      <items count="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t="default"/>
      </items>
    </pivotField>
  </pivotFields>
  <rowFields count="1">
    <field x="4"/>
  </rowFields>
  <rowItems count="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rowItems>
  <colFields count="1">
    <field x="-2"/>
  </colFields>
  <colItems count="3">
    <i>
      <x/>
    </i>
    <i i="1">
      <x v="1"/>
    </i>
    <i i="2">
      <x v="2"/>
    </i>
  </colItems>
  <pageFields count="1">
    <pageField fld="0" hier="62" name="[Winter daily sitreps].[Year].&amp;[2020/21]" cap="2020/21"/>
  </pageFields>
  <dataFields count="3">
    <dataField name="Core" fld="1" baseField="0" baseItem="0"/>
    <dataField name="Escalation" fld="2" baseField="0" baseItem="0"/>
    <dataField name="Total" fld="3"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Winter daily sitreps]"/>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200-000002000000}" name="PivotTable12" cacheId="367" applyNumberFormats="0" applyBorderFormats="0" applyFontFormats="0" applyPatternFormats="0" applyAlignmentFormats="0" applyWidthHeightFormats="1" dataCaption="Values" tag="ed642629-01ce-41a1-89dc-5dcfa0219d0f" updatedVersion="6" minRefreshableVersion="3" useAutoFormatting="1" subtotalHiddenItems="1" itemPrintTitles="1" createdVersion="4" indent="0" outline="1" outlineData="1" multipleFieldFilters="0">
  <location ref="W5:AU21" firstHeaderRow="1" firstDataRow="3" firstDataCol="1" rowPageCount="1" colPageCount="1"/>
  <pivotFields count="6">
    <pivotField axis="axisPage" allDrilled="1" showAll="0" dataSourceSort="1" defaultAttributeDrillState="1">
      <items count="1">
        <item t="default"/>
      </items>
    </pivotField>
    <pivotField dataField="1" showAll="0"/>
    <pivotField dataField="1" showAll="0"/>
    <pivotField axis="axisCol" allDrilled="1" showAll="0" sortType="ascending" defaultAttributeDrillState="1">
      <items count="8">
        <item x="0"/>
        <item x="1"/>
        <item x="2"/>
        <item x="3"/>
        <item x="4"/>
        <item x="5"/>
        <item x="6"/>
        <item t="default"/>
      </items>
    </pivotField>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s>
  <rowFields count="1">
    <field x="5"/>
  </rowFields>
  <rowItems count="14">
    <i>
      <x/>
    </i>
    <i>
      <x v="1"/>
    </i>
    <i>
      <x v="2"/>
    </i>
    <i>
      <x v="3"/>
    </i>
    <i>
      <x v="4"/>
    </i>
    <i>
      <x v="5"/>
    </i>
    <i>
      <x v="6"/>
    </i>
    <i>
      <x v="7"/>
    </i>
    <i>
      <x v="8"/>
    </i>
    <i>
      <x v="9"/>
    </i>
    <i>
      <x v="10"/>
    </i>
    <i>
      <x v="11"/>
    </i>
    <i>
      <x v="12"/>
    </i>
    <i t="grand">
      <x/>
    </i>
  </rowItems>
  <colFields count="2">
    <field x="3"/>
    <field x="-2"/>
  </colFields>
  <colItems count="24">
    <i>
      <x/>
      <x/>
    </i>
    <i r="1" i="1">
      <x v="1"/>
    </i>
    <i r="1" i="2">
      <x v="2"/>
    </i>
    <i>
      <x v="1"/>
      <x/>
    </i>
    <i r="1" i="1">
      <x v="1"/>
    </i>
    <i r="1" i="2">
      <x v="2"/>
    </i>
    <i>
      <x v="2"/>
      <x/>
    </i>
    <i r="1" i="1">
      <x v="1"/>
    </i>
    <i r="1" i="2">
      <x v="2"/>
    </i>
    <i>
      <x v="3"/>
      <x/>
    </i>
    <i r="1" i="1">
      <x v="1"/>
    </i>
    <i r="1" i="2">
      <x v="2"/>
    </i>
    <i>
      <x v="4"/>
      <x/>
    </i>
    <i r="1" i="1">
      <x v="1"/>
    </i>
    <i r="1" i="2">
      <x v="2"/>
    </i>
    <i>
      <x v="5"/>
      <x/>
    </i>
    <i r="1" i="1">
      <x v="1"/>
    </i>
    <i r="1" i="2">
      <x v="2"/>
    </i>
    <i>
      <x v="6"/>
      <x/>
    </i>
    <i r="1" i="1">
      <x v="1"/>
    </i>
    <i r="1" i="2">
      <x v="2"/>
    </i>
    <i t="grand">
      <x/>
    </i>
    <i t="grand" i="1">
      <x/>
    </i>
    <i t="grand" i="2">
      <x/>
    </i>
  </colItems>
  <pageFields count="1">
    <pageField fld="0" hier="62" name="[Winter daily sitreps].[Year].&amp;[2020/21]" cap="2020/21"/>
  </pageFields>
  <dataFields count="3">
    <dataField name="Core" fld="1" baseField="0" baseItem="0"/>
    <dataField name="Escalation" fld="2" baseField="0" baseItem="0"/>
    <dataField name="Total" fld="4"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colHierarchiesUsage count="2">
    <colHierarchyUsage hierarchyUsage="6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0" cacheId="365" applyNumberFormats="0" applyBorderFormats="0" applyFontFormats="0" applyPatternFormats="0" applyAlignmentFormats="0" applyWidthHeightFormats="1" dataCaption="Values" tag="28dedf1c-92d5-4d53-b4e5-4da17111bb79" updatedVersion="6" minRefreshableVersion="3" useAutoFormatting="1" subtotalHiddenItems="1" itemPrintTitles="1" createdVersion="4" indent="0" outline="1" outlineData="1" multipleFieldFilters="0">
  <location ref="B5:E19" firstHeaderRow="0" firstDataRow="1"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dataField="1" showAll="0"/>
    <pivotField dataField="1" showAll="0"/>
  </pivotFields>
  <rowFields count="1">
    <field x="1"/>
  </rowFields>
  <rowItems count="14">
    <i>
      <x/>
    </i>
    <i>
      <x v="1"/>
    </i>
    <i>
      <x v="2"/>
    </i>
    <i>
      <x v="3"/>
    </i>
    <i>
      <x v="4"/>
    </i>
    <i>
      <x v="5"/>
    </i>
    <i>
      <x v="6"/>
    </i>
    <i>
      <x v="7"/>
    </i>
    <i>
      <x v="8"/>
    </i>
    <i>
      <x v="9"/>
    </i>
    <i>
      <x v="10"/>
    </i>
    <i>
      <x v="11"/>
    </i>
    <i>
      <x v="12"/>
    </i>
    <i t="grand">
      <x/>
    </i>
  </rowItems>
  <colFields count="1">
    <field x="-2"/>
  </colFields>
  <colItems count="3">
    <i>
      <x/>
    </i>
    <i i="1">
      <x v="1"/>
    </i>
    <i i="2">
      <x v="2"/>
    </i>
  </colItems>
  <pageFields count="1">
    <pageField fld="0" hier="62" name="[Winter daily sitreps].[Year].&amp;[2020/21]" cap="2020/21"/>
  </pageFields>
  <dataFields count="3">
    <dataField name="Core" fld="2" baseField="0" baseItem="0"/>
    <dataField name="Escalation" fld="3" baseField="0" baseItem="0"/>
    <dataField name="Total" fld="4"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11" cacheId="366" applyNumberFormats="0" applyBorderFormats="0" applyFontFormats="0" applyPatternFormats="0" applyAlignmentFormats="0" applyWidthHeightFormats="1" dataCaption="Values" tag="e0ec11de-981b-4052-a8fe-1e8cd442aade" updatedVersion="6" minRefreshableVersion="3" useAutoFormatting="1" subtotalHiddenItems="1" rowGrandTotals="0" colGrandTotals="0" itemPrintTitles="1" createdVersion="4" indent="0" outline="1" outlineData="1" multipleFieldFilters="0">
  <location ref="L5:O96" firstHeaderRow="0" firstDataRow="1" firstDataCol="1" rowPageCount="1" colPageCount="1"/>
  <pivotFields count="5">
    <pivotField axis="axisPage" allDrilled="1" showAll="0" dataSourceSort="1" defaultSubtotal="0" defaultAttributeDrillState="1"/>
    <pivotField dataField="1" showAll="0"/>
    <pivotField dataField="1" showAll="0"/>
    <pivotField dataField="1" showAll="0"/>
    <pivotField axis="axisRow" allDrilled="1" showAll="0" dataSourceSort="1" defaultSubtotal="0" defaultAttributeDrillState="1">
      <items count="9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s>
    </pivotField>
  </pivotFields>
  <rowFields count="1">
    <field x="4"/>
  </rowFields>
  <rowItems count="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rowItems>
  <colFields count="1">
    <field x="-2"/>
  </colFields>
  <colItems count="3">
    <i>
      <x/>
    </i>
    <i i="1">
      <x v="1"/>
    </i>
    <i i="2">
      <x v="2"/>
    </i>
  </colItems>
  <pageFields count="1">
    <pageField fld="0" hier="62" name="[Winter daily sitreps].[Year].&amp;[2020/21]" cap="2020/21"/>
  </pageFields>
  <dataFields count="3">
    <dataField name="Core" fld="1" baseField="0" baseItem="0"/>
    <dataField name="Escalation" fld="2" baseField="0" baseItem="0"/>
    <dataField name="Total" fld="3" baseField="0" baseItem="0"/>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PivotTable16" cacheId="353" applyNumberFormats="0" applyBorderFormats="0" applyFontFormats="0" applyPatternFormats="0" applyAlignmentFormats="0" applyWidthHeightFormats="1" dataCaption="Values" tag="75108420-684c-4036-bdfe-dfd1f973e47b" updatedVersion="6" minRefreshableVersion="3" useAutoFormatting="1" subtotalHiddenItems="1" colGrandTotals="0" itemPrintTitles="1" createdVersion="4" indent="0" outline="1" outlineData="1" multipleFieldFilters="0">
  <location ref="AL5:EL135"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t="default"/>
      </items>
    </pivotField>
    <pivotField axis="axisCol" allDrilled="1" showAll="0" dataSourceSort="1" defaultAttributeDrillState="1">
      <items count="8">
        <item x="0"/>
        <item x="1"/>
        <item x="2"/>
        <item x="3"/>
        <item x="4"/>
        <item x="5"/>
        <item x="6"/>
        <item t="default"/>
      </items>
    </pivotField>
    <pivotField axis="axisCol" allDrilled="1" showAll="0" defaultAttributeDrillState="1">
      <items count="14">
        <item x="0"/>
        <item x="5"/>
        <item x="6"/>
        <item x="7"/>
        <item x="8"/>
        <item x="9"/>
        <item x="10"/>
        <item x="11"/>
        <item x="12"/>
        <item x="1"/>
        <item x="2"/>
        <item x="3"/>
        <item x="4"/>
        <item t="default"/>
      </items>
    </pivotField>
    <pivotField dataField="1" showAll="0"/>
  </pivotFields>
  <rowFields count="1">
    <field x="1"/>
  </rowFields>
  <rowItems count="12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t="grand">
      <x/>
    </i>
  </rowItems>
  <colFields count="2">
    <field x="3"/>
    <field x="2"/>
  </colFields>
  <colItems count="104">
    <i>
      <x/>
      <x/>
    </i>
    <i r="1">
      <x v="1"/>
    </i>
    <i r="1">
      <x v="2"/>
    </i>
    <i r="1">
      <x v="3"/>
    </i>
    <i r="1">
      <x v="4"/>
    </i>
    <i r="1">
      <x v="5"/>
    </i>
    <i r="1">
      <x v="6"/>
    </i>
    <i t="default">
      <x/>
    </i>
    <i>
      <x v="1"/>
      <x/>
    </i>
    <i r="1">
      <x v="1"/>
    </i>
    <i r="1">
      <x v="2"/>
    </i>
    <i r="1">
      <x v="3"/>
    </i>
    <i r="1">
      <x v="4"/>
    </i>
    <i r="1">
      <x v="5"/>
    </i>
    <i r="1">
      <x v="6"/>
    </i>
    <i t="default">
      <x v="1"/>
    </i>
    <i>
      <x v="2"/>
      <x/>
    </i>
    <i r="1">
      <x v="1"/>
    </i>
    <i r="1">
      <x v="2"/>
    </i>
    <i r="1">
      <x v="3"/>
    </i>
    <i r="1">
      <x v="4"/>
    </i>
    <i r="1">
      <x v="5"/>
    </i>
    <i r="1">
      <x v="6"/>
    </i>
    <i t="default">
      <x v="2"/>
    </i>
    <i>
      <x v="3"/>
      <x/>
    </i>
    <i r="1">
      <x v="1"/>
    </i>
    <i r="1">
      <x v="2"/>
    </i>
    <i r="1">
      <x v="3"/>
    </i>
    <i r="1">
      <x v="4"/>
    </i>
    <i r="1">
      <x v="5"/>
    </i>
    <i r="1">
      <x v="6"/>
    </i>
    <i t="default">
      <x v="3"/>
    </i>
    <i>
      <x v="4"/>
      <x/>
    </i>
    <i r="1">
      <x v="1"/>
    </i>
    <i r="1">
      <x v="2"/>
    </i>
    <i r="1">
      <x v="3"/>
    </i>
    <i r="1">
      <x v="4"/>
    </i>
    <i r="1">
      <x v="5"/>
    </i>
    <i r="1">
      <x v="6"/>
    </i>
    <i t="default">
      <x v="4"/>
    </i>
    <i>
      <x v="5"/>
      <x/>
    </i>
    <i r="1">
      <x v="1"/>
    </i>
    <i r="1">
      <x v="2"/>
    </i>
    <i r="1">
      <x v="3"/>
    </i>
    <i r="1">
      <x v="4"/>
    </i>
    <i r="1">
      <x v="5"/>
    </i>
    <i r="1">
      <x v="6"/>
    </i>
    <i t="default">
      <x v="5"/>
    </i>
    <i>
      <x v="6"/>
      <x/>
    </i>
    <i r="1">
      <x v="1"/>
    </i>
    <i r="1">
      <x v="2"/>
    </i>
    <i r="1">
      <x v="3"/>
    </i>
    <i r="1">
      <x v="4"/>
    </i>
    <i r="1">
      <x v="5"/>
    </i>
    <i r="1">
      <x v="6"/>
    </i>
    <i t="default">
      <x v="6"/>
    </i>
    <i>
      <x v="7"/>
      <x/>
    </i>
    <i r="1">
      <x v="1"/>
    </i>
    <i r="1">
      <x v="2"/>
    </i>
    <i r="1">
      <x v="3"/>
    </i>
    <i r="1">
      <x v="4"/>
    </i>
    <i r="1">
      <x v="5"/>
    </i>
    <i r="1">
      <x v="6"/>
    </i>
    <i t="default">
      <x v="7"/>
    </i>
    <i>
      <x v="8"/>
      <x/>
    </i>
    <i r="1">
      <x v="1"/>
    </i>
    <i r="1">
      <x v="2"/>
    </i>
    <i r="1">
      <x v="3"/>
    </i>
    <i r="1">
      <x v="4"/>
    </i>
    <i r="1">
      <x v="5"/>
    </i>
    <i r="1">
      <x v="6"/>
    </i>
    <i t="default">
      <x v="8"/>
    </i>
    <i>
      <x v="9"/>
      <x/>
    </i>
    <i r="1">
      <x v="1"/>
    </i>
    <i r="1">
      <x v="2"/>
    </i>
    <i r="1">
      <x v="3"/>
    </i>
    <i r="1">
      <x v="4"/>
    </i>
    <i r="1">
      <x v="5"/>
    </i>
    <i r="1">
      <x v="6"/>
    </i>
    <i t="default">
      <x v="9"/>
    </i>
    <i>
      <x v="10"/>
      <x/>
    </i>
    <i r="1">
      <x v="1"/>
    </i>
    <i r="1">
      <x v="2"/>
    </i>
    <i r="1">
      <x v="3"/>
    </i>
    <i r="1">
      <x v="4"/>
    </i>
    <i r="1">
      <x v="5"/>
    </i>
    <i r="1">
      <x v="6"/>
    </i>
    <i t="default">
      <x v="10"/>
    </i>
    <i>
      <x v="11"/>
      <x/>
    </i>
    <i r="1">
      <x v="1"/>
    </i>
    <i r="1">
      <x v="2"/>
    </i>
    <i r="1">
      <x v="3"/>
    </i>
    <i r="1">
      <x v="4"/>
    </i>
    <i r="1">
      <x v="5"/>
    </i>
    <i r="1">
      <x v="6"/>
    </i>
    <i t="default">
      <x v="11"/>
    </i>
    <i>
      <x v="12"/>
      <x/>
    </i>
    <i r="1">
      <x v="1"/>
    </i>
    <i r="1">
      <x v="2"/>
    </i>
    <i r="1">
      <x v="3"/>
    </i>
    <i r="1">
      <x v="4"/>
    </i>
    <i r="1">
      <x v="5"/>
    </i>
    <i r="1">
      <x v="6"/>
    </i>
    <i t="default">
      <x v="12"/>
    </i>
  </colItems>
  <pageFields count="1">
    <pageField fld="0" hier="62" name="[Winter daily sitreps].[Year].&amp;[2020/21]" cap="2020/21"/>
  </pageFields>
  <dataFields count="1">
    <dataField name="Average of GA bed occupancy" fld="4" baseField="1" baseItem="6" numFmtId="164"/>
  </dataFields>
  <pivotHierarchies count="1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Winter daily sitreps].[Year].&amp;[2020/21]"/>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erage of GA bed occupanc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GA bed occupancy"/>
  </pivotHierarchies>
  <pivotTableStyleInfo name="PivotStyleLight16" showRowHeaders="1" showColHeaders="1" showRowStripes="0" showColStripes="0" showLastColumn="1"/>
  <rowHierarchiesUsage count="1">
    <rowHierarchyUsage hierarchyUsage="35"/>
  </rowHierarchiesUsage>
  <colHierarchiesUsage count="2">
    <colHierarchyUsage hierarchyUsage="68"/>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3" xr16:uid="{3B7F9722-027F-4C4A-B64E-3D5A2FCCC9AC}" autoFormatId="16" applyNumberFormats="0" applyBorderFormats="0" applyFontFormats="0" applyPatternFormats="0" applyAlignmentFormats="0" applyWidthHeightFormats="0">
  <queryTableRefresh nextId="43">
    <queryTableFields count="42">
      <queryTableField id="1" name="Winter daily sitreps[ID]" tableColumnId="1"/>
      <queryTableField id="2" name="Winter daily sitreps[cri_id]" tableColumnId="2"/>
      <queryTableField id="3" name="Winter daily sitreps[dr_id]" tableColumnId="3"/>
      <queryTableField id="4" name="Winter daily sitreps[org_id]" tableColumnId="4"/>
      <queryTableField id="5" name="Winter daily sitreps[cri_dataperiodstart]" tableColumnId="5"/>
      <queryTableField id="6" name="Winter daily sitreps[Code]" tableColumnId="6"/>
      <queryTableField id="7" name="Winter daily sitreps[Name]" tableColumnId="7"/>
      <queryTableField id="8" name="Winter daily sitreps[Date]" tableColumnId="8"/>
      <queryTableField id="9" name="Winter daily sitreps[Week]" tableColumnId="9"/>
      <queryTableField id="10" name="Winter daily sitreps[Day]" tableColumnId="10"/>
      <queryTableField id="11" name="Winter daily sitreps[Bank holiday]" tableColumnId="11"/>
      <queryTableField id="12" name="Winter daily sitreps[AE closures]" tableColumnId="12"/>
      <queryTableField id="13" name="Winter daily sitreps[AE diverts]" tableColumnId="13"/>
      <queryTableField id="14" name="Winter daily sitreps[AE type 1 attendances]" tableColumnId="14"/>
      <queryTableField id="15" name="Winter daily sitreps[AE type 2 attendances]" tableColumnId="15"/>
      <queryTableField id="16" name="Winter daily sitreps[AE type 3 attendances]" tableColumnId="16"/>
      <queryTableField id="17" name="Winter daily sitreps[AE total attendances]" tableColumnId="17"/>
      <queryTableField id="18" name="Winter daily sitreps[Emergency admissions]" tableColumnId="18"/>
      <queryTableField id="19" name="Winter daily sitreps[GA core beds avail]" tableColumnId="19"/>
      <queryTableField id="20" name="Winter daily sitreps[GA escalation beds avail]" tableColumnId="20"/>
      <queryTableField id="21" name="Winter daily sitreps[GA total beds avail]" tableColumnId="21"/>
      <queryTableField id="22" name="Winter daily sitreps[GA total beds occupied]" tableColumnId="22"/>
      <queryTableField id="23" name="Winter daily sitreps[Beds closed norovirus]" tableColumnId="23"/>
      <queryTableField id="24" name="Winter daily sitreps[Beds closed norovius unocc]" tableColumnId="24"/>
      <queryTableField id="25" name="Winter daily sitreps[Adult CC beds avail]" tableColumnId="25"/>
      <queryTableField id="26" name="Winter daily sitreps[Adult CC beds occ]" tableColumnId="26"/>
      <queryTableField id="27" name="Winter daily sitreps[Paed Int Care Avail]" tableColumnId="27"/>
      <queryTableField id="28" name="Winter daily sitreps[Paed Int Care Occ]" tableColumnId="28"/>
      <queryTableField id="29" name="Winter daily sitreps[Neo Int Care Avail]" tableColumnId="29"/>
      <queryTableField id="30" name="Winter daily sitreps[Neo Int Care occ]" tableColumnId="30"/>
      <queryTableField id="31" name="Winter daily sitreps[OPEL 3 or above]" tableColumnId="31"/>
      <queryTableField id="32" name="Winter daily sitreps[Weekend]" tableColumnId="32"/>
      <queryTableField id="33" name="Winter daily sitreps[Region]" tableColumnId="33"/>
      <queryTableField id="34" name="Winter daily sitreps[Year]" tableColumnId="34"/>
      <queryTableField id="35" name="Winter daily sitreps[Beds occ over 7 days]" tableColumnId="35"/>
      <queryTableField id="36" name="Winter daily sitreps[Beds occ over 21 days]" tableColumnId="36"/>
      <queryTableField id="37" name="Winter daily sitreps[Amb arrivals]" tableColumnId="37"/>
      <queryTableField id="38" name="Winter daily sitreps[Amb delays 30-60 mins]" tableColumnId="38"/>
      <queryTableField id="39" name="Winter daily sitreps[Amb delays over 60 mins]" tableColumnId="39"/>
      <queryTableField id="40" name="Winter daily sitreps[Week long]" tableColumnId="40"/>
      <queryTableField id="41" name="Winter daily sitreps[GA bed occupancy]" tableColumnId="41"/>
      <queryTableField id="42" name="Winter daily sitreps[Beds occ over 14 days]" tableColumnId="42"/>
    </queryTableFields>
  </queryTableRefresh>
  <extLst>
    <ext xmlns:x15="http://schemas.microsoft.com/office/spreadsheetml/2010/11/main" uri="{883FBD77-0823-4a55-B5E3-86C4891E6966}">
      <x15:queryTable drillThrough="1"/>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B0E93EC-DD69-4996-AA20-FDAAC98D0A33}" name="Table_ExternalData_1" displayName="Table_ExternalData_1" ref="A3:AP892" tableType="queryTable" totalsRowShown="0">
  <autoFilter ref="A3:AP892" xr:uid="{98C51D89-5798-43F9-939F-1F6DB73CC2EE}"/>
  <tableColumns count="42">
    <tableColumn id="1" xr3:uid="{5A1ED2AC-58CA-4AE1-8CC3-364607A56FC4}" uniqueName="1" name="Winter daily sitreps[ID]" queryTableFieldId="1"/>
    <tableColumn id="2" xr3:uid="{CE6EF09B-AE89-46B8-B033-3F72741A7AFA}" uniqueName="2" name="Winter daily sitreps[cri_id]" queryTableFieldId="2"/>
    <tableColumn id="3" xr3:uid="{AD491353-8F8E-411D-831B-AB06F10030F7}" uniqueName="3" name="Winter daily sitreps[dr_id]" queryTableFieldId="3"/>
    <tableColumn id="4" xr3:uid="{BB2C9769-EF1A-453C-AF5E-46E8D32A5680}" uniqueName="4" name="Winter daily sitreps[org_id]" queryTableFieldId="4"/>
    <tableColumn id="5" xr3:uid="{2875C287-ADF8-4500-80D7-098F3777FE09}" uniqueName="5" name="Winter daily sitreps[cri_dataperiodstart]" queryTableFieldId="5" dataDxfId="1"/>
    <tableColumn id="6" xr3:uid="{143029AE-26C0-48F3-B9EF-F7266F23526B}" uniqueName="6" name="Winter daily sitreps[Code]" queryTableFieldId="6"/>
    <tableColumn id="7" xr3:uid="{6A23B4C9-4C06-4870-8A14-B5A4F47BABC0}" uniqueName="7" name="Winter daily sitreps[Name]" queryTableFieldId="7"/>
    <tableColumn id="8" xr3:uid="{72CE587D-4AA3-4BA0-A813-914BE0F2F9CE}" uniqueName="8" name="Winter daily sitreps[Date]" queryTableFieldId="8" dataDxfId="0"/>
    <tableColumn id="9" xr3:uid="{E7CFF8F0-7D04-4E13-8C0F-B8EEFD9731EA}" uniqueName="9" name="Winter daily sitreps[Week]" queryTableFieldId="9"/>
    <tableColumn id="10" xr3:uid="{1B29A1DB-6E98-4189-8126-4FFB7F331F8B}" uniqueName="10" name="Winter daily sitreps[Day]" queryTableFieldId="10"/>
    <tableColumn id="11" xr3:uid="{5ED541E9-B0A3-4481-A8A3-F0D564D0EFFA}" uniqueName="11" name="Winter daily sitreps[Bank holiday]" queryTableFieldId="11"/>
    <tableColumn id="12" xr3:uid="{65B36EF6-4AE4-437F-BF66-58E4F4B1C882}" uniqueName="12" name="Winter daily sitreps[AE closures]" queryTableFieldId="12"/>
    <tableColumn id="13" xr3:uid="{E701D9EC-7612-46CA-8320-78A6AC06C040}" uniqueName="13" name="Winter daily sitreps[AE diverts]" queryTableFieldId="13"/>
    <tableColumn id="14" xr3:uid="{4BA74A21-CFBB-4C44-B1E7-3B0B55394A62}" uniqueName="14" name="Winter daily sitreps[AE type 1 attendances]" queryTableFieldId="14"/>
    <tableColumn id="15" xr3:uid="{7C4E6680-F973-4D8F-A807-92EB8851CF3D}" uniqueName="15" name="Winter daily sitreps[AE type 2 attendances]" queryTableFieldId="15"/>
    <tableColumn id="16" xr3:uid="{3C9DEBAA-E6B4-41CE-91CC-D2326B19B3ED}" uniqueName="16" name="Winter daily sitreps[AE type 3 attendances]" queryTableFieldId="16"/>
    <tableColumn id="17" xr3:uid="{A6FE9C63-6970-4D1A-9070-E521B1DED440}" uniqueName="17" name="Winter daily sitreps[AE total attendances]" queryTableFieldId="17"/>
    <tableColumn id="18" xr3:uid="{C8331D84-CADA-4949-A780-A4262AE8A393}" uniqueName="18" name="Winter daily sitreps[Emergency admissions]" queryTableFieldId="18"/>
    <tableColumn id="19" xr3:uid="{7974BFC4-A62A-4EF1-8937-A25E3C5C6DB1}" uniqueName="19" name="Winter daily sitreps[GA core beds avail]" queryTableFieldId="19"/>
    <tableColumn id="20" xr3:uid="{B752E93A-9C36-42C3-B0BD-F8CB4F90FA45}" uniqueName="20" name="Winter daily sitreps[GA escalation beds avail]" queryTableFieldId="20"/>
    <tableColumn id="21" xr3:uid="{32564219-BC14-482F-A206-2D0CE64F2E39}" uniqueName="21" name="Winter daily sitreps[GA total beds avail]" queryTableFieldId="21"/>
    <tableColumn id="22" xr3:uid="{A0BDB72C-4F72-44A5-96C5-8EAE49601E36}" uniqueName="22" name="Winter daily sitreps[GA total beds occupied]" queryTableFieldId="22"/>
    <tableColumn id="23" xr3:uid="{88586A38-6F55-4760-9F01-0EAE3B5795E2}" uniqueName="23" name="Winter daily sitreps[Beds closed norovirus]" queryTableFieldId="23"/>
    <tableColumn id="24" xr3:uid="{A1367584-E860-492F-A4C7-F2D662202357}" uniqueName="24" name="Winter daily sitreps[Beds closed norovius unocc]" queryTableFieldId="24"/>
    <tableColumn id="25" xr3:uid="{B3095DC5-E609-48D6-AE1E-CA1C79234763}" uniqueName="25" name="Winter daily sitreps[Adult CC beds avail]" queryTableFieldId="25"/>
    <tableColumn id="26" xr3:uid="{A86F981B-5297-4EE6-8E52-A21B286461C1}" uniqueName="26" name="Winter daily sitreps[Adult CC beds occ]" queryTableFieldId="26"/>
    <tableColumn id="27" xr3:uid="{B3284594-2663-4963-B9BC-768C60288A9C}" uniqueName="27" name="Winter daily sitreps[Paed Int Care Avail]" queryTableFieldId="27"/>
    <tableColumn id="28" xr3:uid="{71348964-D1B7-4775-8B0D-B190B20B588B}" uniqueName="28" name="Winter daily sitreps[Paed Int Care Occ]" queryTableFieldId="28"/>
    <tableColumn id="29" xr3:uid="{8594FE6A-15D1-4F55-B073-E67F96071F79}" uniqueName="29" name="Winter daily sitreps[Neo Int Care Avail]" queryTableFieldId="29"/>
    <tableColumn id="30" xr3:uid="{0CA25017-7A65-4782-B2D4-63DD20789D74}" uniqueName="30" name="Winter daily sitreps[Neo Int Care occ]" queryTableFieldId="30"/>
    <tableColumn id="31" xr3:uid="{CC6818DE-E546-4880-9E17-769AF4D95750}" uniqueName="31" name="Winter daily sitreps[OPEL 3 or above]" queryTableFieldId="31"/>
    <tableColumn id="32" xr3:uid="{09C8CDBB-6C76-4302-B841-7D98181F04FE}" uniqueName="32" name="Winter daily sitreps[Weekend]" queryTableFieldId="32"/>
    <tableColumn id="33" xr3:uid="{2CCBA5E5-4228-4236-B681-2A612C6B5EDB}" uniqueName="33" name="Winter daily sitreps[Region]" queryTableFieldId="33"/>
    <tableColumn id="34" xr3:uid="{8BEA8023-9316-4C99-BF71-E2772C431466}" uniqueName="34" name="Winter daily sitreps[Year]" queryTableFieldId="34"/>
    <tableColumn id="35" xr3:uid="{76AA45E3-6D97-47CC-AC90-B082CC1F7851}" uniqueName="35" name="Winter daily sitreps[Beds occ over 7 days]" queryTableFieldId="35"/>
    <tableColumn id="36" xr3:uid="{CBCE56D5-1108-43F8-9405-7D72A3202DB1}" uniqueName="36" name="Winter daily sitreps[Beds occ over 21 days]" queryTableFieldId="36"/>
    <tableColumn id="37" xr3:uid="{5F7AA856-F280-4E38-BD30-D0222F4A2B1E}" uniqueName="37" name="Winter daily sitreps[Amb arrivals]" queryTableFieldId="37"/>
    <tableColumn id="38" xr3:uid="{5DABBD97-104C-44D9-83D8-A1998EBF206C}" uniqueName="38" name="Winter daily sitreps[Amb delays 30-60 mins]" queryTableFieldId="38"/>
    <tableColumn id="39" xr3:uid="{07CED7FE-9DBF-4926-9641-7562CA94DF1E}" uniqueName="39" name="Winter daily sitreps[Amb delays over 60 mins]" queryTableFieldId="39"/>
    <tableColumn id="40" xr3:uid="{53BF02E0-6DCE-479A-B482-087EED8E9969}" uniqueName="40" name="Winter daily sitreps[Week long]" queryTableFieldId="40"/>
    <tableColumn id="41" xr3:uid="{B1EFAAB3-925D-46B3-9B0D-4C6C8D497565}" uniqueName="41" name="Winter daily sitreps[GA bed occupancy]" queryTableFieldId="41"/>
    <tableColumn id="42" xr3:uid="{421D2F26-D8AA-4095-A869-CD72A918984A}" uniqueName="42" name="Winter daily sitreps[Beds occ over 14 days]" queryTableFieldId="4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NHS Providers">
      <a:dk1>
        <a:sysClr val="windowText" lastClr="000000"/>
      </a:dk1>
      <a:lt1>
        <a:sysClr val="window" lastClr="FFFFFF"/>
      </a:lt1>
      <a:dk2>
        <a:srgbClr val="3E505A"/>
      </a:dk2>
      <a:lt2>
        <a:srgbClr val="9DA6AB"/>
      </a:lt2>
      <a:accent1>
        <a:srgbClr val="C00848"/>
      </a:accent1>
      <a:accent2>
        <a:srgbClr val="F0532D"/>
      </a:accent2>
      <a:accent3>
        <a:srgbClr val="F79131"/>
      </a:accent3>
      <a:accent4>
        <a:srgbClr val="00A89C"/>
      </a:accent4>
      <a:accent5>
        <a:srgbClr val="2C72B3"/>
      </a:accent5>
      <a:accent6>
        <a:srgbClr val="29398F"/>
      </a:accent6>
      <a:hlink>
        <a:srgbClr val="F0532D"/>
      </a:hlink>
      <a:folHlink>
        <a:srgbClr val="F7913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35.xml"/><Relationship Id="rId2" Type="http://schemas.openxmlformats.org/officeDocument/2006/relationships/pivotTable" Target="../pivotTables/pivotTable34.xml"/><Relationship Id="rId1" Type="http://schemas.openxmlformats.org/officeDocument/2006/relationships/pivotTable" Target="../pivotTables/pivotTable33.xml"/><Relationship Id="rId5" Type="http://schemas.openxmlformats.org/officeDocument/2006/relationships/printerSettings" Target="../printerSettings/printerSettings7.bin"/><Relationship Id="rId4" Type="http://schemas.openxmlformats.org/officeDocument/2006/relationships/pivotTable" Target="../pivotTables/pivotTable36.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39.xml"/><Relationship Id="rId2" Type="http://schemas.openxmlformats.org/officeDocument/2006/relationships/pivotTable" Target="../pivotTables/pivotTable38.xml"/><Relationship Id="rId1" Type="http://schemas.openxmlformats.org/officeDocument/2006/relationships/pivotTable" Target="../pivotTables/pivotTable37.xml"/><Relationship Id="rId4"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2.bin"/><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5" Type="http://schemas.openxmlformats.org/officeDocument/2006/relationships/printerSettings" Target="../printerSettings/printerSettings3.bin"/><Relationship Id="rId4" Type="http://schemas.openxmlformats.org/officeDocument/2006/relationships/pivotTable" Target="../pivotTables/pivotTable8.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1.xml"/><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5" Type="http://schemas.openxmlformats.org/officeDocument/2006/relationships/drawing" Target="../drawings/drawing13.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22.xml"/><Relationship Id="rId3" Type="http://schemas.openxmlformats.org/officeDocument/2006/relationships/pivotTable" Target="../pivotTables/pivotTable17.xml"/><Relationship Id="rId7" Type="http://schemas.openxmlformats.org/officeDocument/2006/relationships/pivotTable" Target="../pivotTables/pivotTable21.xml"/><Relationship Id="rId2" Type="http://schemas.openxmlformats.org/officeDocument/2006/relationships/pivotTable" Target="../pivotTables/pivotTable16.xml"/><Relationship Id="rId1" Type="http://schemas.openxmlformats.org/officeDocument/2006/relationships/pivotTable" Target="../pivotTables/pivotTable15.xml"/><Relationship Id="rId6" Type="http://schemas.openxmlformats.org/officeDocument/2006/relationships/pivotTable" Target="../pivotTables/pivotTable20.xml"/><Relationship Id="rId5" Type="http://schemas.openxmlformats.org/officeDocument/2006/relationships/pivotTable" Target="../pivotTables/pivotTable19.xml"/><Relationship Id="rId4" Type="http://schemas.openxmlformats.org/officeDocument/2006/relationships/pivotTable" Target="../pivotTables/pivotTable18.xm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25.xml"/><Relationship Id="rId2" Type="http://schemas.openxmlformats.org/officeDocument/2006/relationships/pivotTable" Target="../pivotTables/pivotTable24.xml"/><Relationship Id="rId1" Type="http://schemas.openxmlformats.org/officeDocument/2006/relationships/pivotTable" Target="../pivotTables/pivotTable23.xml"/><Relationship Id="rId6" Type="http://schemas.openxmlformats.org/officeDocument/2006/relationships/pivotTable" Target="../pivotTables/pivotTable28.xml"/><Relationship Id="rId5" Type="http://schemas.openxmlformats.org/officeDocument/2006/relationships/pivotTable" Target="../pivotTables/pivotTable27.xml"/><Relationship Id="rId4" Type="http://schemas.openxmlformats.org/officeDocument/2006/relationships/pivotTable" Target="../pivotTables/pivotTable26.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1.xml"/><Relationship Id="rId2" Type="http://schemas.openxmlformats.org/officeDocument/2006/relationships/pivotTable" Target="../pivotTables/pivotTable30.xml"/><Relationship Id="rId1" Type="http://schemas.openxmlformats.org/officeDocument/2006/relationships/pivotTable" Target="../pivotTables/pivotTable29.xml"/><Relationship Id="rId4" Type="http://schemas.openxmlformats.org/officeDocument/2006/relationships/pivotTable" Target="../pivotTables/pivotTable3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F289"/>
  <sheetViews>
    <sheetView showGridLines="0" tabSelected="1" zoomScale="80" zoomScaleNormal="80" workbookViewId="0">
      <pane ySplit="4" topLeftCell="A5" activePane="bottomLeft" state="frozen"/>
      <selection pane="bottomLeft" activeCell="P80" sqref="P80"/>
    </sheetView>
  </sheetViews>
  <sheetFormatPr defaultRowHeight="14.5" x14ac:dyDescent="0.35"/>
  <cols>
    <col min="1" max="1" width="1.7265625" customWidth="1"/>
    <col min="2" max="2" width="5.26953125" customWidth="1"/>
    <col min="3" max="3" width="33" customWidth="1"/>
    <col min="4" max="4" width="10.1796875" bestFit="1" customWidth="1"/>
    <col min="5" max="5" width="7.36328125" customWidth="1"/>
    <col min="6" max="6" width="7.90625" customWidth="1"/>
    <col min="7" max="7" width="7.36328125" customWidth="1"/>
    <col min="8" max="8" width="8.7265625" customWidth="1"/>
    <col min="9" max="17" width="7.36328125" customWidth="1"/>
    <col min="18" max="18" width="2.81640625" customWidth="1"/>
    <col min="19" max="20" width="9.6328125" bestFit="1" customWidth="1"/>
    <col min="24" max="24" width="8.7265625" customWidth="1"/>
    <col min="25" max="25" width="2.08984375" customWidth="1"/>
    <col min="26" max="26" width="9.08984375" customWidth="1"/>
  </cols>
  <sheetData>
    <row r="2" spans="1:29" ht="84" customHeight="1" x14ac:dyDescent="0.35">
      <c r="C2" s="161" t="s">
        <v>300</v>
      </c>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row>
    <row r="4" spans="1:29" ht="15" customHeight="1" x14ac:dyDescent="0.35">
      <c r="C4" s="5"/>
      <c r="D4" s="23" t="s">
        <v>43</v>
      </c>
      <c r="E4" s="23" t="s">
        <v>44</v>
      </c>
      <c r="F4" s="23" t="s">
        <v>45</v>
      </c>
      <c r="G4" s="23" t="s">
        <v>46</v>
      </c>
      <c r="H4" s="23" t="s">
        <v>47</v>
      </c>
      <c r="I4" s="23" t="s">
        <v>48</v>
      </c>
      <c r="J4" s="23" t="s">
        <v>49</v>
      </c>
      <c r="K4" s="23" t="s">
        <v>50</v>
      </c>
      <c r="L4" s="23" t="s">
        <v>51</v>
      </c>
      <c r="M4" s="23" t="s">
        <v>52</v>
      </c>
      <c r="N4" s="23" t="s">
        <v>53</v>
      </c>
      <c r="O4" s="23" t="s">
        <v>54</v>
      </c>
      <c r="P4" s="23" t="s">
        <v>55</v>
      </c>
      <c r="Q4" s="23"/>
      <c r="S4" s="175" t="s">
        <v>28</v>
      </c>
      <c r="T4" s="175"/>
      <c r="U4" s="175"/>
      <c r="V4" s="175"/>
      <c r="W4" s="175"/>
      <c r="X4" s="175"/>
      <c r="Z4" s="175" t="s">
        <v>3</v>
      </c>
      <c r="AA4" s="175"/>
      <c r="AB4" s="175"/>
      <c r="AC4" s="175"/>
    </row>
    <row r="5" spans="1:29" ht="7.5" customHeight="1" x14ac:dyDescent="0.35">
      <c r="B5" s="6"/>
      <c r="C5" s="5"/>
      <c r="D5" s="24">
        <v>1</v>
      </c>
      <c r="E5" s="24">
        <v>2</v>
      </c>
      <c r="F5" s="24">
        <v>3</v>
      </c>
      <c r="G5" s="24">
        <v>4</v>
      </c>
      <c r="H5" s="24">
        <v>5</v>
      </c>
      <c r="I5" s="24">
        <v>6</v>
      </c>
      <c r="J5" s="24">
        <v>7</v>
      </c>
      <c r="K5" s="24">
        <v>8</v>
      </c>
      <c r="L5" s="24">
        <v>9</v>
      </c>
      <c r="M5" s="24">
        <v>10</v>
      </c>
      <c r="N5" s="24">
        <v>11</v>
      </c>
      <c r="O5" s="24">
        <v>12</v>
      </c>
      <c r="P5" s="24">
        <v>13</v>
      </c>
      <c r="Q5" s="24">
        <v>14</v>
      </c>
    </row>
    <row r="6" spans="1:29" ht="15" customHeight="1" x14ac:dyDescent="0.35">
      <c r="A6" s="104"/>
      <c r="B6" s="162" t="s">
        <v>2</v>
      </c>
      <c r="C6" s="1" t="s">
        <v>252</v>
      </c>
      <c r="D6" s="75">
        <v>28</v>
      </c>
      <c r="E6" s="75">
        <v>24</v>
      </c>
      <c r="F6" s="75">
        <v>23</v>
      </c>
      <c r="G6" s="75">
        <v>20</v>
      </c>
      <c r="H6" s="75">
        <v>28</v>
      </c>
      <c r="I6" s="75">
        <v>27</v>
      </c>
      <c r="J6" s="75">
        <v>20</v>
      </c>
      <c r="K6" s="75">
        <v>25</v>
      </c>
      <c r="L6" s="75">
        <v>14</v>
      </c>
      <c r="M6" s="75">
        <v>26</v>
      </c>
      <c r="N6" s="75">
        <v>32</v>
      </c>
      <c r="O6" s="75">
        <v>22</v>
      </c>
      <c r="P6" s="75">
        <v>24</v>
      </c>
      <c r="Q6" s="64"/>
      <c r="Z6" s="163" t="s">
        <v>26</v>
      </c>
      <c r="AA6" s="163"/>
      <c r="AB6" s="163"/>
      <c r="AC6" s="163"/>
    </row>
    <row r="7" spans="1:29" ht="7.5" customHeight="1" x14ac:dyDescent="0.35">
      <c r="A7" s="104"/>
      <c r="B7" s="162"/>
      <c r="C7" s="1"/>
      <c r="D7" s="24">
        <v>25</v>
      </c>
      <c r="E7" s="24">
        <v>30</v>
      </c>
      <c r="F7" s="24">
        <v>15</v>
      </c>
      <c r="G7" s="24">
        <v>17</v>
      </c>
      <c r="H7" s="24">
        <v>17</v>
      </c>
      <c r="I7" s="24">
        <v>38</v>
      </c>
      <c r="J7" s="24">
        <v>35</v>
      </c>
      <c r="K7" s="24">
        <v>25</v>
      </c>
      <c r="L7" s="24">
        <v>13</v>
      </c>
      <c r="M7" s="24">
        <v>25</v>
      </c>
      <c r="N7" s="24">
        <v>17</v>
      </c>
      <c r="O7" s="24">
        <v>17</v>
      </c>
      <c r="P7" s="24">
        <v>18</v>
      </c>
      <c r="Q7" s="64"/>
      <c r="Z7" s="163"/>
      <c r="AA7" s="163"/>
      <c r="AB7" s="163"/>
      <c r="AC7" s="163"/>
    </row>
    <row r="8" spans="1:29" x14ac:dyDescent="0.35">
      <c r="A8" s="104"/>
      <c r="B8" s="162"/>
      <c r="C8" s="16" t="s">
        <v>294</v>
      </c>
      <c r="D8" s="98">
        <f>IFERROR(VLOOKUP(D$4,'A&amp;E diverts'!$P$3:$X$16,2,FALSE),"")</f>
        <v>18</v>
      </c>
      <c r="E8" s="105">
        <f>IFERROR(VLOOKUP(E$4,'A&amp;E diverts'!$P$3:$X$16,2,FALSE),"")</f>
        <v>44</v>
      </c>
      <c r="F8" s="105">
        <f>IFERROR(VLOOKUP(F$4,'A&amp;E diverts'!$P$3:$X$16,2,FALSE),"")</f>
        <v>26</v>
      </c>
      <c r="G8" s="105">
        <f>IFERROR(VLOOKUP(G$4,'A&amp;E diverts'!$P$3:$X$16,2,FALSE),"")</f>
        <v>22</v>
      </c>
      <c r="H8" s="105">
        <f>IFERROR(VLOOKUP(H$4,'A&amp;E diverts'!$P$3:$X$16,2,FALSE),"")</f>
        <v>20</v>
      </c>
      <c r="I8" s="105">
        <f>IFERROR(VLOOKUP(I$4,'A&amp;E diverts'!$P$3:$X$16,2,FALSE),"")</f>
        <v>25</v>
      </c>
      <c r="J8" s="105">
        <f>IFERROR(VLOOKUP(J$4,'A&amp;E diverts'!$P$3:$X$16,2,FALSE),"")</f>
        <v>15</v>
      </c>
      <c r="K8" s="105">
        <f>IFERROR(VLOOKUP(K$4,'A&amp;E diverts'!$P$3:$X$16,2,FALSE),"")</f>
        <v>24</v>
      </c>
      <c r="L8" s="105">
        <f>IFERROR(VLOOKUP(L$4,'A&amp;E diverts'!$P$3:$X$16,2,FALSE),"")</f>
        <v>14</v>
      </c>
      <c r="M8" s="105">
        <f>IFERROR(VLOOKUP(M$4,'A&amp;E diverts'!$P$3:$X$16,2,FALSE),"")</f>
        <v>13</v>
      </c>
      <c r="N8" s="105">
        <f>IFERROR(VLOOKUP(N$4,'A&amp;E diverts'!$P$3:$X$16,2,FALSE),"")</f>
        <v>18</v>
      </c>
      <c r="O8" s="105">
        <f>IFERROR(VLOOKUP(O$4,'A&amp;E diverts'!$P$3:$X$16,2,FALSE),"")</f>
        <v>22</v>
      </c>
      <c r="P8" s="105">
        <f>IFERROR(VLOOKUP(P$4,'A&amp;E diverts'!$P$3:$X$16,2,FALSE),"")</f>
        <v>17</v>
      </c>
      <c r="Q8" s="73"/>
      <c r="Z8" s="163"/>
      <c r="AA8" s="163"/>
      <c r="AB8" s="163"/>
      <c r="AC8" s="163"/>
    </row>
    <row r="9" spans="1:29" x14ac:dyDescent="0.35">
      <c r="A9" s="104"/>
      <c r="B9" s="162"/>
      <c r="C9" s="1" t="s">
        <v>1</v>
      </c>
      <c r="D9" s="133">
        <f>IFERROR(VLOOKUP(D$4,'A&amp;E diverts'!$P$3:$X$16,3,FALSE),"")</f>
        <v>0</v>
      </c>
      <c r="E9" s="133">
        <f>IFERROR(VLOOKUP(E$4,'A&amp;E diverts'!$P$3:$X$16,3,FALSE),"")</f>
        <v>0</v>
      </c>
      <c r="F9" s="133">
        <f>IFERROR(VLOOKUP(F$4,'A&amp;E diverts'!$P$3:$X$16,3,FALSE),"")</f>
        <v>1</v>
      </c>
      <c r="G9" s="133">
        <f>IFERROR(VLOOKUP(G$4,'A&amp;E diverts'!$P$3:$X$16,3,FALSE),"")</f>
        <v>0</v>
      </c>
      <c r="H9" s="133">
        <f>IFERROR(VLOOKUP(H$4,'A&amp;E diverts'!$P$3:$X$16,3,FALSE),"")</f>
        <v>0</v>
      </c>
      <c r="I9" s="133">
        <f>IFERROR(VLOOKUP(I$4,'A&amp;E diverts'!$P$3:$X$16,3,FALSE),"")</f>
        <v>0</v>
      </c>
      <c r="J9" s="133">
        <f>IFERROR(VLOOKUP(J$4,'A&amp;E diverts'!$P$3:$X$16,3,FALSE),"")</f>
        <v>0</v>
      </c>
      <c r="K9" s="133">
        <f>IFERROR(VLOOKUP(K$4,'A&amp;E diverts'!$P$3:$X$16,3,FALSE),"")</f>
        <v>0</v>
      </c>
      <c r="L9" s="133">
        <f>IFERROR(VLOOKUP(L$4,'A&amp;E diverts'!$P$3:$X$16,3,FALSE),"")</f>
        <v>0</v>
      </c>
      <c r="M9" s="133">
        <f>IFERROR(VLOOKUP(M$4,'A&amp;E diverts'!$P$3:$X$16,3,FALSE),"")</f>
        <v>0</v>
      </c>
      <c r="N9" s="133">
        <f>IFERROR(VLOOKUP(N$4,'A&amp;E diverts'!$P$3:$X$16,3,FALSE),"")</f>
        <v>1</v>
      </c>
      <c r="O9" s="133">
        <f>IFERROR(VLOOKUP(O$4,'A&amp;E diverts'!$P$3:$X$16,3,FALSE),"")</f>
        <v>0</v>
      </c>
      <c r="P9" s="133">
        <f>IFERROR(VLOOKUP(P$4,'A&amp;E diverts'!$P$3:$X$16,3,FALSE),"")</f>
        <v>0</v>
      </c>
      <c r="Q9" s="74"/>
      <c r="Z9" s="163"/>
      <c r="AA9" s="163"/>
      <c r="AB9" s="163"/>
      <c r="AC9" s="163"/>
    </row>
    <row r="10" spans="1:29" x14ac:dyDescent="0.35">
      <c r="A10" s="104"/>
      <c r="B10" s="162"/>
      <c r="C10" s="1" t="s">
        <v>226</v>
      </c>
      <c r="D10" s="133">
        <f>IFERROR(VLOOKUP(D$4,'A&amp;E diverts'!$P$3:$X$16,4,FALSE),"")</f>
        <v>8</v>
      </c>
      <c r="E10" s="133">
        <f>IFERROR(VLOOKUP(E$4,'A&amp;E diverts'!$P$3:$X$16,4,FALSE),"")</f>
        <v>41</v>
      </c>
      <c r="F10" s="133">
        <f>IFERROR(VLOOKUP(F$4,'A&amp;E diverts'!$P$3:$X$16,4,FALSE),"")</f>
        <v>16</v>
      </c>
      <c r="G10" s="133">
        <f>IFERROR(VLOOKUP(G$4,'A&amp;E diverts'!$P$3:$X$16,4,FALSE),"")</f>
        <v>14</v>
      </c>
      <c r="H10" s="133">
        <f>IFERROR(VLOOKUP(H$4,'A&amp;E diverts'!$P$3:$X$16,4,FALSE),"")</f>
        <v>8</v>
      </c>
      <c r="I10" s="133">
        <f>IFERROR(VLOOKUP(I$4,'A&amp;E diverts'!$P$3:$X$16,4,FALSE),"")</f>
        <v>13</v>
      </c>
      <c r="J10" s="133">
        <f>IFERROR(VLOOKUP(J$4,'A&amp;E diverts'!$P$3:$X$16,4,FALSE),"")</f>
        <v>7</v>
      </c>
      <c r="K10" s="133">
        <f>IFERROR(VLOOKUP(K$4,'A&amp;E diverts'!$P$3:$X$16,4,FALSE),"")</f>
        <v>12</v>
      </c>
      <c r="L10" s="133">
        <f>IFERROR(VLOOKUP(L$4,'A&amp;E diverts'!$P$3:$X$16,4,FALSE),"")</f>
        <v>9</v>
      </c>
      <c r="M10" s="133">
        <f>IFERROR(VLOOKUP(M$4,'A&amp;E diverts'!$P$3:$X$16,4,FALSE),"")</f>
        <v>2</v>
      </c>
      <c r="N10" s="133">
        <f>IFERROR(VLOOKUP(N$4,'A&amp;E diverts'!$P$3:$X$16,4,FALSE),"")</f>
        <v>8</v>
      </c>
      <c r="O10" s="133">
        <f>IFERROR(VLOOKUP(O$4,'A&amp;E diverts'!$P$3:$X$16,4,FALSE),"")</f>
        <v>12</v>
      </c>
      <c r="P10" s="133">
        <f>IFERROR(VLOOKUP(P$4,'A&amp;E diverts'!$P$3:$X$16,4,FALSE),"")</f>
        <v>8</v>
      </c>
      <c r="Q10" s="74" t="str">
        <f>IFERROR(VLOOKUP(Q$4,'A&amp;E diverts'!$P$3:$W$17,4,FALSE),"")</f>
        <v/>
      </c>
      <c r="Z10" s="160" t="s">
        <v>428</v>
      </c>
      <c r="AA10" s="160"/>
      <c r="AB10" s="160"/>
      <c r="AC10" s="160"/>
    </row>
    <row r="11" spans="1:29" x14ac:dyDescent="0.35">
      <c r="A11" s="104"/>
      <c r="B11" s="162"/>
      <c r="C11" s="1" t="s">
        <v>253</v>
      </c>
      <c r="D11" s="133">
        <f>IFERROR(VLOOKUP(D$4,'A&amp;E diverts'!$P$3:$X$16,8,FALSE),"")</f>
        <v>0</v>
      </c>
      <c r="E11" s="133">
        <f>IFERROR(VLOOKUP(E$4,'A&amp;E diverts'!$P$3:$X$16,8,FALSE),"")</f>
        <v>0</v>
      </c>
      <c r="F11" s="133">
        <f>IFERROR(VLOOKUP(F$4,'A&amp;E diverts'!$P$3:$X$16,8,FALSE),"")</f>
        <v>0</v>
      </c>
      <c r="G11" s="133">
        <f>IFERROR(VLOOKUP(G$4,'A&amp;E diverts'!$P$3:$X$16,8,FALSE),"")</f>
        <v>0</v>
      </c>
      <c r="H11" s="133">
        <f>IFERROR(VLOOKUP(H$4,'A&amp;E diverts'!$P$3:$X$16,8,FALSE),"")</f>
        <v>0</v>
      </c>
      <c r="I11" s="133">
        <f>IFERROR(VLOOKUP(I$4,'A&amp;E diverts'!$P$3:$X$16,8,FALSE),"")</f>
        <v>0</v>
      </c>
      <c r="J11" s="133">
        <f>IFERROR(VLOOKUP(J$4,'A&amp;E diverts'!$P$3:$X$16,8,FALSE),"")</f>
        <v>0</v>
      </c>
      <c r="K11" s="133">
        <f>IFERROR(VLOOKUP(K$4,'A&amp;E diverts'!$P$3:$X$16,8,FALSE),"")</f>
        <v>0</v>
      </c>
      <c r="L11" s="133">
        <f>IFERROR(VLOOKUP(L$4,'A&amp;E diverts'!$P$3:$X$16,8,FALSE),"")</f>
        <v>0</v>
      </c>
      <c r="M11" s="133">
        <f>IFERROR(VLOOKUP(M$4,'A&amp;E diverts'!$P$3:$X$16,8,FALSE),"")</f>
        <v>0</v>
      </c>
      <c r="N11" s="133">
        <f>IFERROR(VLOOKUP(N$4,'A&amp;E diverts'!$P$3:$X$16,8,FALSE),"")</f>
        <v>0</v>
      </c>
      <c r="O11" s="133">
        <f>IFERROR(VLOOKUP(O$4,'A&amp;E diverts'!$P$3:$X$16,8,FALSE),"")</f>
        <v>1</v>
      </c>
      <c r="P11" s="133">
        <f>IFERROR(VLOOKUP(P$4,'A&amp;E diverts'!$P$3:$X$16,8,FALSE),"")</f>
        <v>0</v>
      </c>
      <c r="Q11" s="74"/>
      <c r="Z11" s="160"/>
      <c r="AA11" s="160"/>
      <c r="AB11" s="160"/>
      <c r="AC11" s="160"/>
    </row>
    <row r="12" spans="1:29" x14ac:dyDescent="0.35">
      <c r="A12" s="104"/>
      <c r="B12" s="162"/>
      <c r="C12" s="1" t="s">
        <v>254</v>
      </c>
      <c r="D12" s="133">
        <f>IFERROR(VLOOKUP(D$4,'A&amp;E diverts'!$P$3:$X$16,5,FALSE),"")</f>
        <v>2</v>
      </c>
      <c r="E12" s="133">
        <f>IFERROR(VLOOKUP(E$4,'A&amp;E diverts'!$P$3:$X$16,5,FALSE),"")</f>
        <v>2</v>
      </c>
      <c r="F12" s="133">
        <f>IFERROR(VLOOKUP(F$4,'A&amp;E diverts'!$P$3:$X$16,5,FALSE),"")</f>
        <v>3</v>
      </c>
      <c r="G12" s="133">
        <f>IFERROR(VLOOKUP(G$4,'A&amp;E diverts'!$P$3:$X$16,5,FALSE),"")</f>
        <v>2</v>
      </c>
      <c r="H12" s="133">
        <f>IFERROR(VLOOKUP(H$4,'A&amp;E diverts'!$P$3:$X$16,5,FALSE),"")</f>
        <v>4</v>
      </c>
      <c r="I12" s="133">
        <f>IFERROR(VLOOKUP(I$4,'A&amp;E diverts'!$P$3:$X$16,5,FALSE),"")</f>
        <v>4</v>
      </c>
      <c r="J12" s="133">
        <f>IFERROR(VLOOKUP(J$4,'A&amp;E diverts'!$P$3:$X$16,5,FALSE),"")</f>
        <v>2</v>
      </c>
      <c r="K12" s="133">
        <f>IFERROR(VLOOKUP(K$4,'A&amp;E diverts'!$P$3:$X$16,5,FALSE),"")</f>
        <v>2</v>
      </c>
      <c r="L12" s="133">
        <f>IFERROR(VLOOKUP(L$4,'A&amp;E diverts'!$P$3:$X$16,5,FALSE),"")</f>
        <v>1</v>
      </c>
      <c r="M12" s="133">
        <f>IFERROR(VLOOKUP(M$4,'A&amp;E diverts'!$P$3:$X$16,5,FALSE),"")</f>
        <v>2</v>
      </c>
      <c r="N12" s="133">
        <f>IFERROR(VLOOKUP(N$4,'A&amp;E diverts'!$P$3:$X$16,5,FALSE),"")</f>
        <v>3</v>
      </c>
      <c r="O12" s="133">
        <f>IFERROR(VLOOKUP(O$4,'A&amp;E diverts'!$P$3:$X$16,5,FALSE),"")</f>
        <v>2</v>
      </c>
      <c r="P12" s="133">
        <f>IFERROR(VLOOKUP(P$4,'A&amp;E diverts'!$P$3:$X$16,5,FALSE),"")</f>
        <v>1</v>
      </c>
      <c r="Q12" s="74"/>
      <c r="Z12" s="160"/>
      <c r="AA12" s="160"/>
      <c r="AB12" s="160"/>
      <c r="AC12" s="160"/>
    </row>
    <row r="13" spans="1:29" x14ac:dyDescent="0.35">
      <c r="A13" s="104"/>
      <c r="B13" s="162"/>
      <c r="C13" s="1" t="s">
        <v>255</v>
      </c>
      <c r="D13" s="133">
        <f>IFERROR(VLOOKUP(D$4,'A&amp;E diverts'!$P$3:$X$16,9,FALSE),"")</f>
        <v>1</v>
      </c>
      <c r="E13" s="133">
        <f>IFERROR(VLOOKUP(E$4,'A&amp;E diverts'!$P$3:$X$16,9,FALSE),"")</f>
        <v>0</v>
      </c>
      <c r="F13" s="133">
        <f>IFERROR(VLOOKUP(F$4,'A&amp;E diverts'!$P$3:$X$16,9,FALSE),"")</f>
        <v>2</v>
      </c>
      <c r="G13" s="133">
        <f>IFERROR(VLOOKUP(G$4,'A&amp;E diverts'!$P$3:$X$16,9,FALSE),"")</f>
        <v>0</v>
      </c>
      <c r="H13" s="133">
        <f>IFERROR(VLOOKUP(H$4,'A&amp;E diverts'!$P$3:$X$16,9,FALSE),"")</f>
        <v>0</v>
      </c>
      <c r="I13" s="133">
        <f>IFERROR(VLOOKUP(I$4,'A&amp;E diverts'!$P$3:$X$16,9,FALSE),"")</f>
        <v>1</v>
      </c>
      <c r="J13" s="133">
        <f>IFERROR(VLOOKUP(J$4,'A&amp;E diverts'!$P$3:$X$16,9,FALSE),"")</f>
        <v>0</v>
      </c>
      <c r="K13" s="133">
        <f>IFERROR(VLOOKUP(K$4,'A&amp;E diverts'!$P$3:$X$16,9,FALSE),"")</f>
        <v>0</v>
      </c>
      <c r="L13" s="133">
        <f>IFERROR(VLOOKUP(L$4,'A&amp;E diverts'!$P$3:$X$16,9,FALSE),"")</f>
        <v>1</v>
      </c>
      <c r="M13" s="133">
        <f>IFERROR(VLOOKUP(M$4,'A&amp;E diverts'!$P$3:$X$16,9,FALSE),"")</f>
        <v>2</v>
      </c>
      <c r="N13" s="133">
        <f>IFERROR(VLOOKUP(N$4,'A&amp;E diverts'!$P$3:$X$16,9,FALSE),"")</f>
        <v>0</v>
      </c>
      <c r="O13" s="133">
        <f>IFERROR(VLOOKUP(O$4,'A&amp;E diverts'!$P$3:$X$16,9,FALSE),"")</f>
        <v>1</v>
      </c>
      <c r="P13" s="133">
        <f>IFERROR(VLOOKUP(P$4,'A&amp;E diverts'!$P$3:$X$16,9,FALSE),"")</f>
        <v>0</v>
      </c>
      <c r="Q13" s="74" t="str">
        <f>IFERROR(VLOOKUP(Q$4,'A&amp;E diverts'!$P$3:$W$17,5,FALSE),"")</f>
        <v/>
      </c>
      <c r="Z13" s="160"/>
      <c r="AA13" s="160"/>
      <c r="AB13" s="160"/>
      <c r="AC13" s="160"/>
    </row>
    <row r="14" spans="1:29" x14ac:dyDescent="0.35">
      <c r="A14" s="104"/>
      <c r="B14" s="162"/>
      <c r="C14" s="1" t="s">
        <v>223</v>
      </c>
      <c r="D14" s="133">
        <f>IFERROR(VLOOKUP(D$4,'A&amp;E diverts'!$P$3:$X$16,6,FALSE),"")</f>
        <v>3</v>
      </c>
      <c r="E14" s="133">
        <f>IFERROR(VLOOKUP(E$4,'A&amp;E diverts'!$P$3:$X$16,6,FALSE),"")</f>
        <v>1</v>
      </c>
      <c r="F14" s="133">
        <f>IFERROR(VLOOKUP(F$4,'A&amp;E diverts'!$P$3:$X$16,6,FALSE),"")</f>
        <v>4</v>
      </c>
      <c r="G14" s="133">
        <f>IFERROR(VLOOKUP(G$4,'A&amp;E diverts'!$P$3:$X$16,6,FALSE),"")</f>
        <v>6</v>
      </c>
      <c r="H14" s="133">
        <f>IFERROR(VLOOKUP(H$4,'A&amp;E diverts'!$P$3:$X$16,6,FALSE),"")</f>
        <v>8</v>
      </c>
      <c r="I14" s="133">
        <f>IFERROR(VLOOKUP(I$4,'A&amp;E diverts'!$P$3:$X$16,6,FALSE),"")</f>
        <v>7</v>
      </c>
      <c r="J14" s="133">
        <f>IFERROR(VLOOKUP(J$4,'A&amp;E diverts'!$P$3:$X$16,6,FALSE),"")</f>
        <v>6</v>
      </c>
      <c r="K14" s="133">
        <f>IFERROR(VLOOKUP(K$4,'A&amp;E diverts'!$P$3:$X$16,6,FALSE),"")</f>
        <v>10</v>
      </c>
      <c r="L14" s="133">
        <f>IFERROR(VLOOKUP(L$4,'A&amp;E diverts'!$P$3:$X$16,6,FALSE),"")</f>
        <v>3</v>
      </c>
      <c r="M14" s="133">
        <f>IFERROR(VLOOKUP(M$4,'A&amp;E diverts'!$P$3:$X$16,6,FALSE),"")</f>
        <v>7</v>
      </c>
      <c r="N14" s="133">
        <f>IFERROR(VLOOKUP(N$4,'A&amp;E diverts'!$P$3:$X$16,6,FALSE),"")</f>
        <v>6</v>
      </c>
      <c r="O14" s="133">
        <f>IFERROR(VLOOKUP(O$4,'A&amp;E diverts'!$P$3:$X$16,6,FALSE),"")</f>
        <v>6</v>
      </c>
      <c r="P14" s="133">
        <f>IFERROR(VLOOKUP(P$4,'A&amp;E diverts'!$P$3:$X$16,6,FALSE),"")</f>
        <v>8</v>
      </c>
      <c r="Q14" s="74" t="str">
        <f>IFERROR(VLOOKUP(Q$4,'A&amp;E diverts'!$P$3:$W$17,6,FALSE),"")</f>
        <v/>
      </c>
      <c r="Z14" s="160"/>
      <c r="AA14" s="160"/>
      <c r="AB14" s="160"/>
      <c r="AC14" s="160"/>
    </row>
    <row r="15" spans="1:29" x14ac:dyDescent="0.35">
      <c r="A15" s="104"/>
      <c r="B15" s="162"/>
      <c r="C15" s="11" t="s">
        <v>224</v>
      </c>
      <c r="D15" s="133">
        <f>IFERROR(VLOOKUP(D$4,'A&amp;E diverts'!$P$3:$X$16,7,FALSE),"")</f>
        <v>4</v>
      </c>
      <c r="E15" s="133">
        <f>IFERROR(VLOOKUP(E$4,'A&amp;E diverts'!$P$3:$X$16,7,FALSE),"")</f>
        <v>0</v>
      </c>
      <c r="F15" s="133">
        <f>IFERROR(VLOOKUP(F$4,'A&amp;E diverts'!$P$3:$X$16,7,FALSE),"")</f>
        <v>0</v>
      </c>
      <c r="G15" s="133">
        <f>IFERROR(VLOOKUP(G$4,'A&amp;E diverts'!$P$3:$X$16,7,FALSE),"")</f>
        <v>0</v>
      </c>
      <c r="H15" s="133">
        <f>IFERROR(VLOOKUP(H$4,'A&amp;E diverts'!$P$3:$X$16,7,FALSE),"")</f>
        <v>0</v>
      </c>
      <c r="I15" s="133">
        <f>IFERROR(VLOOKUP(I$4,'A&amp;E diverts'!$P$3:$X$16,7,FALSE),"")</f>
        <v>0</v>
      </c>
      <c r="J15" s="133">
        <f>IFERROR(VLOOKUP(J$4,'A&amp;E diverts'!$P$3:$X$16,7,FALSE),"")</f>
        <v>0</v>
      </c>
      <c r="K15" s="133">
        <f>IFERROR(VLOOKUP(K$4,'A&amp;E diverts'!$P$3:$X$16,7,FALSE),"")</f>
        <v>0</v>
      </c>
      <c r="L15" s="133">
        <f>IFERROR(VLOOKUP(L$4,'A&amp;E diverts'!$P$3:$X$16,7,FALSE),"")</f>
        <v>0</v>
      </c>
      <c r="M15" s="133">
        <f>IFERROR(VLOOKUP(M$4,'A&amp;E diverts'!$P$3:$X$16,7,FALSE),"")</f>
        <v>0</v>
      </c>
      <c r="N15" s="133">
        <f>IFERROR(VLOOKUP(N$4,'A&amp;E diverts'!$P$3:$X$16,7,FALSE),"")</f>
        <v>0</v>
      </c>
      <c r="O15" s="133">
        <f>IFERROR(VLOOKUP(O$4,'A&amp;E diverts'!$P$3:$X$16,7,FALSE),"")</f>
        <v>0</v>
      </c>
      <c r="P15" s="133">
        <f>IFERROR(VLOOKUP(P$4,'A&amp;E diverts'!$P$3:$X$16,7,FALSE),"")</f>
        <v>0</v>
      </c>
      <c r="Q15" s="74" t="str">
        <f>IFERROR(VLOOKUP(Q$4,'A&amp;E diverts'!$P$3:$W$17,7,FALSE),"")</f>
        <v/>
      </c>
      <c r="Z15" s="160"/>
      <c r="AA15" s="160"/>
      <c r="AB15" s="160"/>
      <c r="AC15" s="160"/>
    </row>
    <row r="16" spans="1:29" ht="7.5" customHeight="1" x14ac:dyDescent="0.35">
      <c r="A16" s="104"/>
      <c r="B16" s="162"/>
      <c r="Z16" s="160"/>
      <c r="AA16" s="160"/>
      <c r="AB16" s="160"/>
      <c r="AC16" s="160"/>
    </row>
    <row r="17" spans="1:31" x14ac:dyDescent="0.35">
      <c r="A17" s="104"/>
      <c r="B17" s="162"/>
      <c r="C17" s="1" t="s">
        <v>27</v>
      </c>
      <c r="D17" s="172" t="s">
        <v>252</v>
      </c>
      <c r="E17" s="173"/>
      <c r="F17" s="174"/>
      <c r="G17" s="167" t="s">
        <v>292</v>
      </c>
      <c r="H17" s="167"/>
      <c r="I17" s="167"/>
      <c r="J17" s="167"/>
      <c r="K17" s="168" t="s">
        <v>294</v>
      </c>
      <c r="L17" s="168"/>
      <c r="M17" s="168"/>
      <c r="N17" s="166" t="str">
        <f>'A&amp;E diverts'!AD5&amp;" ("&amp;TEXT('A&amp;E diverts'!AD7,"d-mmm")&amp;")"</f>
        <v>20 (11-Dec)</v>
      </c>
      <c r="O17" s="166"/>
      <c r="P17" s="166"/>
      <c r="Q17" s="76"/>
      <c r="Z17" s="160"/>
      <c r="AA17" s="160"/>
      <c r="AB17" s="160"/>
      <c r="AC17" s="160"/>
    </row>
    <row r="18" spans="1:31" ht="7.5" customHeight="1" x14ac:dyDescent="0.35">
      <c r="A18" s="104"/>
      <c r="B18" s="162"/>
      <c r="C18" s="1"/>
      <c r="K18" s="4"/>
      <c r="L18" s="4"/>
      <c r="M18" s="4"/>
      <c r="N18" s="4"/>
      <c r="O18" s="4"/>
      <c r="P18" s="4"/>
      <c r="Q18" s="77"/>
      <c r="Z18" s="160"/>
      <c r="AA18" s="160"/>
      <c r="AB18" s="160"/>
      <c r="AC18" s="160"/>
    </row>
    <row r="19" spans="1:31" x14ac:dyDescent="0.35">
      <c r="A19" s="104"/>
      <c r="B19" s="162"/>
      <c r="C19" s="1" t="s">
        <v>25</v>
      </c>
      <c r="D19" s="167" t="s">
        <v>252</v>
      </c>
      <c r="E19" s="167"/>
      <c r="F19" s="167"/>
      <c r="G19" s="167" t="s">
        <v>293</v>
      </c>
      <c r="H19" s="167"/>
      <c r="I19" s="167"/>
      <c r="J19" s="167"/>
      <c r="K19" s="168" t="s">
        <v>294</v>
      </c>
      <c r="L19" s="168"/>
      <c r="M19" s="168"/>
      <c r="N19" s="166" t="str">
        <f>'A&amp;E diverts'!AI5&amp;" out of "&amp;'A&amp;E diverts'!AI6&amp;" ("&amp;TEXT('A&amp;E diverts'!AI7,"0%")&amp;")"</f>
        <v>8 out of 91 (9%)</v>
      </c>
      <c r="O19" s="166"/>
      <c r="P19" s="166"/>
      <c r="Q19" s="76"/>
      <c r="R19" s="58"/>
      <c r="Z19" s="160"/>
      <c r="AA19" s="160"/>
      <c r="AB19" s="160"/>
      <c r="AC19" s="160"/>
      <c r="AE19" s="38"/>
    </row>
    <row r="20" spans="1:31" ht="30" customHeight="1" x14ac:dyDescent="0.35">
      <c r="C20" s="1"/>
    </row>
    <row r="21" spans="1:31" ht="15" hidden="1" customHeight="1" x14ac:dyDescent="0.35">
      <c r="B21" s="162" t="s">
        <v>205</v>
      </c>
      <c r="C21" s="12" t="s">
        <v>248</v>
      </c>
      <c r="D21" s="120">
        <v>93650.428571428565</v>
      </c>
      <c r="E21" s="120">
        <v>93161.71428571429</v>
      </c>
      <c r="F21" s="120">
        <v>92488.71428571429</v>
      </c>
      <c r="G21" s="120">
        <v>93346.71428571429</v>
      </c>
      <c r="H21" s="120">
        <v>93925.857142857145</v>
      </c>
      <c r="I21" s="120">
        <v>94001.571428571435</v>
      </c>
      <c r="J21" s="120">
        <v>93775.71428571429</v>
      </c>
      <c r="K21" s="120">
        <v>93805.28571428571</v>
      </c>
      <c r="L21" s="120">
        <v>94035.71428571429</v>
      </c>
      <c r="M21" s="120">
        <v>93641</v>
      </c>
      <c r="N21" s="120">
        <v>93906.571428571435</v>
      </c>
      <c r="O21" s="120">
        <v>94013.142857142855</v>
      </c>
      <c r="P21" s="120">
        <v>93559.428571428565</v>
      </c>
    </row>
    <row r="22" spans="1:31" ht="15" hidden="1" customHeight="1" x14ac:dyDescent="0.35">
      <c r="B22" s="162"/>
      <c r="C22" s="1" t="s">
        <v>252</v>
      </c>
      <c r="D22" s="129">
        <v>93502.857142857145</v>
      </c>
      <c r="E22" s="129">
        <v>93719</v>
      </c>
      <c r="F22" s="129">
        <v>93699.28571428571</v>
      </c>
      <c r="G22" s="129">
        <v>93230.428571428565</v>
      </c>
      <c r="H22" s="129">
        <v>93207.71428571429</v>
      </c>
      <c r="I22" s="129">
        <v>93977</v>
      </c>
      <c r="J22" s="129">
        <v>94063.28571428571</v>
      </c>
      <c r="K22" s="129">
        <v>94130.142857142855</v>
      </c>
      <c r="L22" s="129">
        <v>93986.71428571429</v>
      </c>
      <c r="M22" s="129">
        <v>93993.857142857145</v>
      </c>
      <c r="N22" s="129">
        <v>94272</v>
      </c>
      <c r="O22" s="129">
        <v>94287.71428571429</v>
      </c>
      <c r="P22" s="129">
        <v>94002.71428571429</v>
      </c>
      <c r="Z22" s="163"/>
      <c r="AA22" s="163"/>
      <c r="AB22" s="163"/>
      <c r="AC22" s="163"/>
    </row>
    <row r="23" spans="1:31" ht="7.5" hidden="1" customHeight="1" x14ac:dyDescent="0.35">
      <c r="B23" s="162"/>
      <c r="C23" s="1"/>
      <c r="D23" s="30">
        <v>93649.571428571435</v>
      </c>
      <c r="E23" s="30">
        <v>93473.142857142855</v>
      </c>
      <c r="F23" s="30">
        <v>93407.857142857145</v>
      </c>
      <c r="G23" s="30">
        <v>92975.571428571435</v>
      </c>
      <c r="H23" s="30">
        <v>93152.428571428565</v>
      </c>
      <c r="I23" s="30">
        <v>93636.28571428571</v>
      </c>
      <c r="J23" s="30">
        <v>93877.142857142855</v>
      </c>
      <c r="K23" s="30">
        <v>93919.28571428571</v>
      </c>
      <c r="L23" s="30">
        <v>94246.428571428565</v>
      </c>
      <c r="M23" s="30">
        <v>94095.857142857145</v>
      </c>
      <c r="N23" s="30">
        <v>94323</v>
      </c>
      <c r="O23" s="30">
        <v>94216.428571428565</v>
      </c>
      <c r="P23" s="30">
        <v>94254.28571428571</v>
      </c>
      <c r="Q23" s="30">
        <v>0.85</v>
      </c>
      <c r="Z23" s="163"/>
      <c r="AA23" s="163"/>
      <c r="AB23" s="163"/>
      <c r="AC23" s="163"/>
    </row>
    <row r="24" spans="1:31" ht="14.5" hidden="1" customHeight="1" x14ac:dyDescent="0.35">
      <c r="B24" s="162"/>
      <c r="C24" s="16" t="s">
        <v>294</v>
      </c>
      <c r="D24" s="140" t="s">
        <v>438</v>
      </c>
      <c r="E24" s="122">
        <f>IFERROR(VLOOKUP(E$4,'G&amp;A bed avail.'!$AW$5:$BE$18,2,FALSE),"")</f>
        <v>0</v>
      </c>
      <c r="F24" s="122">
        <f>IFERROR(VLOOKUP(F$4,'G&amp;A bed avail.'!$AW$5:$BE$18,2,FALSE),"")</f>
        <v>0</v>
      </c>
      <c r="G24" s="122">
        <f>IFERROR(VLOOKUP(G$4,'G&amp;A bed avail.'!$AW$5:$BE$18,2,FALSE),"")</f>
        <v>0</v>
      </c>
      <c r="H24" s="122">
        <f>IFERROR(VLOOKUP(H$4,'G&amp;A bed avail.'!$AW$5:$BE$18,2,FALSE),"")</f>
        <v>0</v>
      </c>
      <c r="I24" s="122">
        <f>IFERROR(VLOOKUP(I$4,'G&amp;A bed avail.'!$AW$5:$BE$18,2,FALSE),"")</f>
        <v>0</v>
      </c>
      <c r="J24" s="122">
        <f>IFERROR(VLOOKUP(J$4,'G&amp;A bed avail.'!$AW$5:$BE$18,2,FALSE),"")</f>
        <v>0</v>
      </c>
      <c r="K24" s="122">
        <f>IFERROR(VLOOKUP(K$4,'G&amp;A bed avail.'!$AW$5:$BE$18,2,FALSE),"")</f>
        <v>0</v>
      </c>
      <c r="L24" s="122">
        <f>IFERROR(VLOOKUP(L$4,'G&amp;A bed avail.'!$AW$5:$BE$18,2,FALSE),"")</f>
        <v>0</v>
      </c>
      <c r="M24" s="122">
        <f>IFERROR(VLOOKUP(M$4,'G&amp;A bed avail.'!$AW$5:$BE$18,2,FALSE),"")</f>
        <v>0</v>
      </c>
      <c r="N24" s="122">
        <f>IFERROR(VLOOKUP(N$4,'G&amp;A bed avail.'!$AW$5:$BE$18,2,FALSE),"")</f>
        <v>0</v>
      </c>
      <c r="O24" s="122">
        <f>IFERROR(VLOOKUP(O$4,'G&amp;A bed avail.'!$AW$5:$BE$18,2,FALSE),"")</f>
        <v>0</v>
      </c>
      <c r="P24" s="122">
        <f>IFERROR(VLOOKUP(P$4,'G&amp;A bed avail.'!$AW$5:$BE$18,2,FALSE),"")</f>
        <v>0</v>
      </c>
      <c r="Q24" s="78" t="str">
        <f>IFERROR(VLOOKUP(Q$4,'G&amp;A bed avail.'!$AW$5:$BD$19,2,FALSE),"")</f>
        <v/>
      </c>
      <c r="R24" s="2"/>
      <c r="Z24" s="163"/>
      <c r="AA24" s="163"/>
      <c r="AB24" s="163"/>
      <c r="AC24" s="163"/>
    </row>
    <row r="25" spans="1:31" ht="14.5" hidden="1" customHeight="1" x14ac:dyDescent="0.35">
      <c r="B25" s="162"/>
      <c r="C25" s="1" t="s">
        <v>1</v>
      </c>
      <c r="D25" s="134" t="s">
        <v>438</v>
      </c>
      <c r="E25" s="134">
        <f>IFERROR(VLOOKUP(E$4,'G&amp;A bed avail.'!$AW$5:$BE$18,3,FALSE),"")</f>
        <v>0</v>
      </c>
      <c r="F25" s="134">
        <f>IFERROR(VLOOKUP(F$4,'G&amp;A bed avail.'!$AW$5:$BE$18,3,FALSE),"")</f>
        <v>0</v>
      </c>
      <c r="G25" s="134">
        <f>IFERROR(VLOOKUP(G$4,'G&amp;A bed avail.'!$AW$5:$BE$18,3,FALSE),"")</f>
        <v>0</v>
      </c>
      <c r="H25" s="134">
        <f>IFERROR(VLOOKUP(H$4,'G&amp;A bed avail.'!$AW$5:$BE$18,3,FALSE),"")</f>
        <v>0</v>
      </c>
      <c r="I25" s="134">
        <f>IFERROR(VLOOKUP(I$4,'G&amp;A bed avail.'!$AW$5:$BE$18,3,FALSE),"")</f>
        <v>0</v>
      </c>
      <c r="J25" s="134">
        <f>IFERROR(VLOOKUP(J$4,'G&amp;A bed avail.'!$AW$5:$BE$18,3,FALSE),"")</f>
        <v>0</v>
      </c>
      <c r="K25" s="134">
        <f>IFERROR(VLOOKUP(K$4,'G&amp;A bed avail.'!$AW$5:$BE$18,3,FALSE),"")</f>
        <v>0</v>
      </c>
      <c r="L25" s="134">
        <f>IFERROR(VLOOKUP(L$4,'G&amp;A bed avail.'!$AW$5:$BE$18,3,FALSE),"")</f>
        <v>0</v>
      </c>
      <c r="M25" s="134">
        <f>IFERROR(VLOOKUP(M$4,'G&amp;A bed avail.'!$AW$5:$BE$18,3,FALSE),"")</f>
        <v>0</v>
      </c>
      <c r="N25" s="134">
        <f>IFERROR(VLOOKUP(N$4,'G&amp;A bed avail.'!$AW$5:$BE$18,3,FALSE),"")</f>
        <v>0</v>
      </c>
      <c r="O25" s="134">
        <f>IFERROR(VLOOKUP(O$4,'G&amp;A bed avail.'!$AW$5:$BE$18,3,FALSE),"")</f>
        <v>0</v>
      </c>
      <c r="P25" s="134">
        <f>IFERROR(VLOOKUP(P$4,'G&amp;A bed avail.'!$AW$5:$BE$18,3,FALSE),"")</f>
        <v>0</v>
      </c>
      <c r="Q25" s="79" t="str">
        <f>IFERROR(VLOOKUP(Q$4,'G&amp;A bed avail.'!$AW$5:$BD$19,3,FALSE),"")</f>
        <v/>
      </c>
      <c r="Z25" s="163"/>
      <c r="AA25" s="163"/>
      <c r="AB25" s="163"/>
      <c r="AC25" s="163"/>
    </row>
    <row r="26" spans="1:31" ht="15" hidden="1" customHeight="1" x14ac:dyDescent="0.35">
      <c r="B26" s="162"/>
      <c r="C26" s="1" t="s">
        <v>226</v>
      </c>
      <c r="D26" s="134" t="s">
        <v>438</v>
      </c>
      <c r="E26" s="134">
        <f>IFERROR(VLOOKUP(E$4,'G&amp;A bed avail.'!$AW$5:$BE$18,4,FALSE),"")</f>
        <v>0</v>
      </c>
      <c r="F26" s="134">
        <f>IFERROR(VLOOKUP(F$4,'G&amp;A bed avail.'!$AW$5:$BE$18,4,FALSE),"")</f>
        <v>0</v>
      </c>
      <c r="G26" s="134">
        <f>IFERROR(VLOOKUP(G$4,'G&amp;A bed avail.'!$AW$5:$BE$18,4,FALSE),"")</f>
        <v>0</v>
      </c>
      <c r="H26" s="134">
        <f>IFERROR(VLOOKUP(H$4,'G&amp;A bed avail.'!$AW$5:$BE$18,4,FALSE),"")</f>
        <v>0</v>
      </c>
      <c r="I26" s="134">
        <f>IFERROR(VLOOKUP(I$4,'G&amp;A bed avail.'!$AW$5:$BE$18,4,FALSE),"")</f>
        <v>0</v>
      </c>
      <c r="J26" s="134">
        <f>IFERROR(VLOOKUP(J$4,'G&amp;A bed avail.'!$AW$5:$BE$18,4,FALSE),"")</f>
        <v>0</v>
      </c>
      <c r="K26" s="134">
        <f>IFERROR(VLOOKUP(K$4,'G&amp;A bed avail.'!$AW$5:$BE$18,4,FALSE),"")</f>
        <v>0</v>
      </c>
      <c r="L26" s="134">
        <f>IFERROR(VLOOKUP(L$4,'G&amp;A bed avail.'!$AW$5:$BE$18,4,FALSE),"")</f>
        <v>0</v>
      </c>
      <c r="M26" s="134">
        <f>IFERROR(VLOOKUP(M$4,'G&amp;A bed avail.'!$AW$5:$BE$18,4,FALSE),"")</f>
        <v>0</v>
      </c>
      <c r="N26" s="134">
        <f>IFERROR(VLOOKUP(N$4,'G&amp;A bed avail.'!$AW$5:$BE$18,4,FALSE),"")</f>
        <v>0</v>
      </c>
      <c r="O26" s="134">
        <f>IFERROR(VLOOKUP(O$4,'G&amp;A bed avail.'!$AW$5:$BE$18,4,FALSE),"")</f>
        <v>0</v>
      </c>
      <c r="P26" s="134">
        <f>IFERROR(VLOOKUP(P$4,'G&amp;A bed avail.'!$AW$5:$BE$18,4,FALSE),"")</f>
        <v>0</v>
      </c>
      <c r="Q26" s="79" t="str">
        <f>IFERROR(VLOOKUP(Q$4,'G&amp;A bed avail.'!$AW$5:$BD$19,4,FALSE),"")</f>
        <v/>
      </c>
      <c r="Z26" s="15"/>
      <c r="AA26" s="15"/>
      <c r="AB26" s="15"/>
      <c r="AC26" s="15"/>
    </row>
    <row r="27" spans="1:31" ht="15" hidden="1" customHeight="1" x14ac:dyDescent="0.35">
      <c r="B27" s="162"/>
      <c r="C27" s="1" t="s">
        <v>253</v>
      </c>
      <c r="D27" s="134" t="s">
        <v>438</v>
      </c>
      <c r="E27" s="134">
        <f>IFERROR(VLOOKUP(E$4,'G&amp;A bed avail.'!$AW$5:$BE$18,8,FALSE),"")</f>
        <v>0</v>
      </c>
      <c r="F27" s="134">
        <f>IFERROR(VLOOKUP(F$4,'G&amp;A bed avail.'!$AW$5:$BE$18,8,FALSE),"")</f>
        <v>0</v>
      </c>
      <c r="G27" s="134">
        <f>IFERROR(VLOOKUP(G$4,'G&amp;A bed avail.'!$AW$5:$BE$18,8,FALSE),"")</f>
        <v>0</v>
      </c>
      <c r="H27" s="134">
        <f>IFERROR(VLOOKUP(H$4,'G&amp;A bed avail.'!$AW$5:$BE$18,8,FALSE),"")</f>
        <v>0</v>
      </c>
      <c r="I27" s="134">
        <f>IFERROR(VLOOKUP(I$4,'G&amp;A bed avail.'!$AW$5:$BE$18,8,FALSE),"")</f>
        <v>0</v>
      </c>
      <c r="J27" s="134">
        <f>IFERROR(VLOOKUP(J$4,'G&amp;A bed avail.'!$AW$5:$BE$18,8,FALSE),"")</f>
        <v>0</v>
      </c>
      <c r="K27" s="134">
        <f>IFERROR(VLOOKUP(K$4,'G&amp;A bed avail.'!$AW$5:$BE$18,8,FALSE),"")</f>
        <v>0</v>
      </c>
      <c r="L27" s="134">
        <f>IFERROR(VLOOKUP(L$4,'G&amp;A bed avail.'!$AW$5:$BE$18,8,FALSE),"")</f>
        <v>0</v>
      </c>
      <c r="M27" s="134">
        <f>IFERROR(VLOOKUP(M$4,'G&amp;A bed avail.'!$AW$5:$BE$18,8,FALSE),"")</f>
        <v>0</v>
      </c>
      <c r="N27" s="134">
        <f>IFERROR(VLOOKUP(N$4,'G&amp;A bed avail.'!$AW$5:$BE$18,8,FALSE),"")</f>
        <v>0</v>
      </c>
      <c r="O27" s="134">
        <f>IFERROR(VLOOKUP(O$4,'G&amp;A bed avail.'!$AW$5:$BE$18,8,FALSE),"")</f>
        <v>0</v>
      </c>
      <c r="P27" s="134">
        <f>IFERROR(VLOOKUP(P$4,'G&amp;A bed avail.'!$AW$5:$BE$18,8,FALSE),"")</f>
        <v>0</v>
      </c>
      <c r="Q27" s="79"/>
      <c r="Z27" s="15"/>
      <c r="AA27" s="15"/>
      <c r="AB27" s="15"/>
      <c r="AC27" s="15"/>
    </row>
    <row r="28" spans="1:31" ht="15" hidden="1" customHeight="1" x14ac:dyDescent="0.35">
      <c r="B28" s="162"/>
      <c r="C28" s="1" t="s">
        <v>254</v>
      </c>
      <c r="D28" s="134" t="s">
        <v>438</v>
      </c>
      <c r="E28" s="134">
        <f>IFERROR(VLOOKUP(E$4,'G&amp;A bed avail.'!$AW$5:$BE$18,5,FALSE),"")</f>
        <v>0</v>
      </c>
      <c r="F28" s="134">
        <f>IFERROR(VLOOKUP(F$4,'G&amp;A bed avail.'!$AW$5:$BE$18,5,FALSE),"")</f>
        <v>0</v>
      </c>
      <c r="G28" s="134">
        <f>IFERROR(VLOOKUP(G$4,'G&amp;A bed avail.'!$AW$5:$BE$18,5,FALSE),"")</f>
        <v>0</v>
      </c>
      <c r="H28" s="134">
        <f>IFERROR(VLOOKUP(H$4,'G&amp;A bed avail.'!$AW$5:$BE$18,5,FALSE),"")</f>
        <v>0</v>
      </c>
      <c r="I28" s="134">
        <f>IFERROR(VLOOKUP(I$4,'G&amp;A bed avail.'!$AW$5:$BE$18,5,FALSE),"")</f>
        <v>0</v>
      </c>
      <c r="J28" s="134">
        <f>IFERROR(VLOOKUP(J$4,'G&amp;A bed avail.'!$AW$5:$BE$18,5,FALSE),"")</f>
        <v>0</v>
      </c>
      <c r="K28" s="134">
        <f>IFERROR(VLOOKUP(K$4,'G&amp;A bed avail.'!$AW$5:$BE$18,5,FALSE),"")</f>
        <v>0</v>
      </c>
      <c r="L28" s="134">
        <f>IFERROR(VLOOKUP(L$4,'G&amp;A bed avail.'!$AW$5:$BE$18,5,FALSE),"")</f>
        <v>0</v>
      </c>
      <c r="M28" s="134">
        <f>IFERROR(VLOOKUP(M$4,'G&amp;A bed avail.'!$AW$5:$BE$18,5,FALSE),"")</f>
        <v>0</v>
      </c>
      <c r="N28" s="134">
        <f>IFERROR(VLOOKUP(N$4,'G&amp;A bed avail.'!$AW$5:$BE$18,5,FALSE),"")</f>
        <v>0</v>
      </c>
      <c r="O28" s="134">
        <f>IFERROR(VLOOKUP(O$4,'G&amp;A bed avail.'!$AW$5:$BE$18,5,FALSE),"")</f>
        <v>0</v>
      </c>
      <c r="P28" s="134">
        <f>IFERROR(VLOOKUP(P$4,'G&amp;A bed avail.'!$AW$5:$BE$18,5,FALSE),"")</f>
        <v>0</v>
      </c>
      <c r="Q28" s="79"/>
      <c r="Z28" s="15"/>
      <c r="AA28" s="15"/>
      <c r="AB28" s="15"/>
      <c r="AC28" s="15"/>
    </row>
    <row r="29" spans="1:31" ht="14.5" hidden="1" customHeight="1" x14ac:dyDescent="0.35">
      <c r="B29" s="162"/>
      <c r="C29" s="1" t="s">
        <v>256</v>
      </c>
      <c r="D29" s="134" t="s">
        <v>438</v>
      </c>
      <c r="E29" s="134">
        <f>IFERROR(VLOOKUP(E$4,'G&amp;A bed avail.'!$AW$5:$BE$18,9,FALSE),"")</f>
        <v>0</v>
      </c>
      <c r="F29" s="134">
        <f>IFERROR(VLOOKUP(F$4,'G&amp;A bed avail.'!$AW$5:$BE$18,9,FALSE),"")</f>
        <v>0</v>
      </c>
      <c r="G29" s="134">
        <f>IFERROR(VLOOKUP(G$4,'G&amp;A bed avail.'!$AW$5:$BE$18,9,FALSE),"")</f>
        <v>0</v>
      </c>
      <c r="H29" s="134">
        <f>IFERROR(VLOOKUP(H$4,'G&amp;A bed avail.'!$AW$5:$BE$18,9,FALSE),"")</f>
        <v>0</v>
      </c>
      <c r="I29" s="134">
        <f>IFERROR(VLOOKUP(I$4,'G&amp;A bed avail.'!$AW$5:$BE$18,9,FALSE),"")</f>
        <v>0</v>
      </c>
      <c r="J29" s="134">
        <f>IFERROR(VLOOKUP(J$4,'G&amp;A bed avail.'!$AW$5:$BE$18,9,FALSE),"")</f>
        <v>0</v>
      </c>
      <c r="K29" s="134">
        <f>IFERROR(VLOOKUP(K$4,'G&amp;A bed avail.'!$AW$5:$BE$18,9,FALSE),"")</f>
        <v>0</v>
      </c>
      <c r="L29" s="134">
        <f>IFERROR(VLOOKUP(L$4,'G&amp;A bed avail.'!$AW$5:$BE$18,9,FALSE),"")</f>
        <v>0</v>
      </c>
      <c r="M29" s="134">
        <f>IFERROR(VLOOKUP(M$4,'G&amp;A bed avail.'!$AW$5:$BE$18,9,FALSE),"")</f>
        <v>0</v>
      </c>
      <c r="N29" s="134">
        <f>IFERROR(VLOOKUP(N$4,'G&amp;A bed avail.'!$AW$5:$BE$18,9,FALSE),"")</f>
        <v>0</v>
      </c>
      <c r="O29" s="134">
        <f>IFERROR(VLOOKUP(O$4,'G&amp;A bed avail.'!$AW$5:$BE$18,9,FALSE),"")</f>
        <v>0</v>
      </c>
      <c r="P29" s="134">
        <f>IFERROR(VLOOKUP(P$4,'G&amp;A bed avail.'!$AW$5:$BE$18,9,FALSE),"")</f>
        <v>0</v>
      </c>
      <c r="Q29" s="79" t="str">
        <f>IFERROR(VLOOKUP(Q$4,'G&amp;A bed avail.'!$AW$5:$BD$19,5,FALSE),"")</f>
        <v/>
      </c>
      <c r="Z29" s="15"/>
      <c r="AA29" s="15"/>
      <c r="AB29" s="15"/>
      <c r="AC29" s="15"/>
    </row>
    <row r="30" spans="1:31" ht="14.5" hidden="1" customHeight="1" x14ac:dyDescent="0.35">
      <c r="B30" s="162"/>
      <c r="C30" s="1" t="s">
        <v>223</v>
      </c>
      <c r="D30" s="134" t="s">
        <v>438</v>
      </c>
      <c r="E30" s="134">
        <f>IFERROR(VLOOKUP(E$4,'G&amp;A bed avail.'!$AW$5:$BE$18,6,FALSE),"")</f>
        <v>0</v>
      </c>
      <c r="F30" s="134">
        <f>IFERROR(VLOOKUP(F$4,'G&amp;A bed avail.'!$AW$5:$BE$18,6,FALSE),"")</f>
        <v>0</v>
      </c>
      <c r="G30" s="134">
        <f>IFERROR(VLOOKUP(G$4,'G&amp;A bed avail.'!$AW$5:$BE$18,6,FALSE),"")</f>
        <v>0</v>
      </c>
      <c r="H30" s="134">
        <f>IFERROR(VLOOKUP(H$4,'G&amp;A bed avail.'!$AW$5:$BE$18,6,FALSE),"")</f>
        <v>0</v>
      </c>
      <c r="I30" s="134">
        <f>IFERROR(VLOOKUP(I$4,'G&amp;A bed avail.'!$AW$5:$BE$18,6,FALSE),"")</f>
        <v>0</v>
      </c>
      <c r="J30" s="134">
        <f>IFERROR(VLOOKUP(J$4,'G&amp;A bed avail.'!$AW$5:$BE$18,6,FALSE),"")</f>
        <v>0</v>
      </c>
      <c r="K30" s="134">
        <f>IFERROR(VLOOKUP(K$4,'G&amp;A bed avail.'!$AW$5:$BE$18,6,FALSE),"")</f>
        <v>0</v>
      </c>
      <c r="L30" s="134">
        <f>IFERROR(VLOOKUP(L$4,'G&amp;A bed avail.'!$AW$5:$BE$18,6,FALSE),"")</f>
        <v>0</v>
      </c>
      <c r="M30" s="134">
        <f>IFERROR(VLOOKUP(M$4,'G&amp;A bed avail.'!$AW$5:$BE$18,6,FALSE),"")</f>
        <v>0</v>
      </c>
      <c r="N30" s="134">
        <f>IFERROR(VLOOKUP(N$4,'G&amp;A bed avail.'!$AW$5:$BE$18,6,FALSE),"")</f>
        <v>0</v>
      </c>
      <c r="O30" s="134">
        <f>IFERROR(VLOOKUP(O$4,'G&amp;A bed avail.'!$AW$5:$BE$18,6,FALSE),"")</f>
        <v>0</v>
      </c>
      <c r="P30" s="134">
        <f>IFERROR(VLOOKUP(P$4,'G&amp;A bed avail.'!$AW$5:$BE$18,6,FALSE),"")</f>
        <v>0</v>
      </c>
      <c r="Q30" s="79" t="str">
        <f>IFERROR(VLOOKUP(Q$4,'G&amp;A bed avail.'!$AW$5:$BD$19,6,FALSE),"")</f>
        <v/>
      </c>
      <c r="Z30" s="15"/>
      <c r="AA30" s="15"/>
      <c r="AB30" s="15"/>
      <c r="AC30" s="15"/>
    </row>
    <row r="31" spans="1:31" ht="14.5" hidden="1" customHeight="1" x14ac:dyDescent="0.35">
      <c r="B31" s="162"/>
      <c r="C31" s="11" t="s">
        <v>224</v>
      </c>
      <c r="D31" s="134" t="s">
        <v>438</v>
      </c>
      <c r="E31" s="134">
        <f>IFERROR(VLOOKUP(E$4,'G&amp;A bed avail.'!$AW$5:$BE$18,7,FALSE),"")</f>
        <v>0</v>
      </c>
      <c r="F31" s="134">
        <f>IFERROR(VLOOKUP(F$4,'G&amp;A bed avail.'!$AW$5:$BE$18,7,FALSE),"")</f>
        <v>0</v>
      </c>
      <c r="G31" s="134">
        <f>IFERROR(VLOOKUP(G$4,'G&amp;A bed avail.'!$AW$5:$BE$18,7,FALSE),"")</f>
        <v>0</v>
      </c>
      <c r="H31" s="134">
        <f>IFERROR(VLOOKUP(H$4,'G&amp;A bed avail.'!$AW$5:$BE$18,7,FALSE),"")</f>
        <v>0</v>
      </c>
      <c r="I31" s="134">
        <f>IFERROR(VLOOKUP(I$4,'G&amp;A bed avail.'!$AW$5:$BE$18,7,FALSE),"")</f>
        <v>0</v>
      </c>
      <c r="J31" s="134">
        <f>IFERROR(VLOOKUP(J$4,'G&amp;A bed avail.'!$AW$5:$BE$18,7,FALSE),"")</f>
        <v>0</v>
      </c>
      <c r="K31" s="134">
        <f>IFERROR(VLOOKUP(K$4,'G&amp;A bed avail.'!$AW$5:$BE$18,7,FALSE),"")</f>
        <v>0</v>
      </c>
      <c r="L31" s="134">
        <f>IFERROR(VLOOKUP(L$4,'G&amp;A bed avail.'!$AW$5:$BE$18,7,FALSE),"")</f>
        <v>0</v>
      </c>
      <c r="M31" s="134">
        <f>IFERROR(VLOOKUP(M$4,'G&amp;A bed avail.'!$AW$5:$BE$18,7,FALSE),"")</f>
        <v>0</v>
      </c>
      <c r="N31" s="134">
        <f>IFERROR(VLOOKUP(N$4,'G&amp;A bed avail.'!$AW$5:$BE$18,7,FALSE),"")</f>
        <v>0</v>
      </c>
      <c r="O31" s="134">
        <f>IFERROR(VLOOKUP(O$4,'G&amp;A bed avail.'!$AW$5:$BE$18,7,FALSE),"")</f>
        <v>0</v>
      </c>
      <c r="P31" s="134">
        <f>IFERROR(VLOOKUP(P$4,'G&amp;A bed avail.'!$AW$5:$BE$18,7,FALSE),"")</f>
        <v>0</v>
      </c>
      <c r="Q31" s="79" t="str">
        <f>IFERROR(VLOOKUP(Q$4,'G&amp;A bed avail.'!$AW$5:$BD$19,7,FALSE),"")</f>
        <v/>
      </c>
      <c r="Z31" s="15"/>
      <c r="AA31" s="15"/>
      <c r="AB31" s="15"/>
      <c r="AC31" s="15"/>
    </row>
    <row r="32" spans="1:31" ht="7.5" hidden="1" customHeight="1" x14ac:dyDescent="0.35">
      <c r="B32" s="162"/>
      <c r="C32" s="1"/>
      <c r="D32" s="33"/>
      <c r="E32" s="33"/>
      <c r="F32" s="33"/>
      <c r="G32" s="33"/>
      <c r="H32" s="33"/>
      <c r="I32" s="33"/>
      <c r="J32" s="33"/>
      <c r="K32" s="33"/>
      <c r="L32" s="33"/>
      <c r="M32" s="33"/>
      <c r="N32" s="33"/>
      <c r="O32" s="33"/>
      <c r="P32" s="33"/>
      <c r="Q32" s="33"/>
      <c r="Z32" s="15"/>
      <c r="AA32" s="15"/>
      <c r="AB32" s="15"/>
      <c r="AC32" s="15"/>
    </row>
    <row r="33" spans="2:29" ht="14.5" hidden="1" customHeight="1" x14ac:dyDescent="0.35">
      <c r="B33" s="162"/>
      <c r="C33" s="1" t="s">
        <v>214</v>
      </c>
      <c r="D33" s="167" t="s">
        <v>252</v>
      </c>
      <c r="E33" s="167"/>
      <c r="F33" s="167"/>
      <c r="G33" s="167" t="s">
        <v>295</v>
      </c>
      <c r="H33" s="167"/>
      <c r="I33" s="167"/>
      <c r="J33" s="167"/>
      <c r="K33" s="168" t="s">
        <v>294</v>
      </c>
      <c r="L33" s="168"/>
      <c r="M33" s="168"/>
      <c r="N33" s="180" t="s">
        <v>438</v>
      </c>
      <c r="O33" s="180"/>
      <c r="P33" s="180"/>
      <c r="Q33" s="80"/>
      <c r="R33" s="58"/>
      <c r="Z33" s="15"/>
      <c r="AA33" s="15"/>
      <c r="AB33" s="15"/>
      <c r="AC33" s="15"/>
    </row>
    <row r="34" spans="2:29" ht="7.5" hidden="1" customHeight="1" x14ac:dyDescent="0.35">
      <c r="B34" s="162"/>
      <c r="C34" s="1"/>
      <c r="D34" s="33"/>
      <c r="E34" s="33"/>
      <c r="F34" s="33"/>
      <c r="G34" s="33"/>
      <c r="H34" s="33"/>
      <c r="I34" s="33"/>
      <c r="J34" s="33"/>
      <c r="K34" s="33"/>
      <c r="L34" s="33"/>
      <c r="M34" s="33"/>
      <c r="N34" s="33"/>
      <c r="O34" s="33"/>
      <c r="P34" s="33"/>
      <c r="Q34" s="33"/>
      <c r="Z34" s="15"/>
      <c r="AA34" s="15"/>
      <c r="AB34" s="15"/>
      <c r="AC34" s="15"/>
    </row>
    <row r="35" spans="2:29" ht="15" hidden="1" customHeight="1" x14ac:dyDescent="0.35">
      <c r="B35" s="162"/>
      <c r="C35" s="12" t="s">
        <v>218</v>
      </c>
      <c r="D35" s="120">
        <v>2399.8571428571427</v>
      </c>
      <c r="E35" s="120">
        <v>2249.5714285714284</v>
      </c>
      <c r="F35" s="120">
        <v>1987.4285714285713</v>
      </c>
      <c r="G35" s="120">
        <v>1727.8571428571429</v>
      </c>
      <c r="H35" s="120">
        <v>3065.8571428571427</v>
      </c>
      <c r="I35" s="120">
        <v>3611.7142857142858</v>
      </c>
      <c r="J35" s="120">
        <v>3702.8571428571427</v>
      </c>
      <c r="K35" s="120">
        <v>3630</v>
      </c>
      <c r="L35" s="120">
        <v>3882.8571428571427</v>
      </c>
      <c r="M35" s="120">
        <v>4015.2857142857142</v>
      </c>
      <c r="N35" s="120">
        <v>3861.5714285714284</v>
      </c>
      <c r="O35" s="120">
        <v>3602.7142857142858</v>
      </c>
      <c r="P35" s="120">
        <v>3373.5714285714284</v>
      </c>
      <c r="Z35" s="15"/>
      <c r="AA35" s="15"/>
      <c r="AB35" s="15"/>
      <c r="AC35" s="15"/>
    </row>
    <row r="36" spans="2:29" ht="15" hidden="1" customHeight="1" x14ac:dyDescent="0.35">
      <c r="B36" s="162"/>
      <c r="C36" s="1" t="s">
        <v>252</v>
      </c>
      <c r="D36" s="14">
        <v>3172.1428571428573</v>
      </c>
      <c r="E36" s="14">
        <v>3348.7142857142858</v>
      </c>
      <c r="F36" s="14">
        <v>3318.5714285714284</v>
      </c>
      <c r="G36" s="14">
        <v>2586.2857142857142</v>
      </c>
      <c r="H36" s="14">
        <v>3935.4285714285716</v>
      </c>
      <c r="I36" s="14">
        <v>4440.5714285714284</v>
      </c>
      <c r="J36" s="14">
        <v>4141</v>
      </c>
      <c r="K36" s="14">
        <v>3859.8571428571427</v>
      </c>
      <c r="L36" s="14">
        <v>4044.4285714285716</v>
      </c>
      <c r="M36" s="14">
        <v>3860.8571428571427</v>
      </c>
      <c r="N36" s="14">
        <v>3588.1428571428573</v>
      </c>
      <c r="O36" s="14">
        <v>3502.5714285714284</v>
      </c>
      <c r="P36" s="14">
        <v>3551.1428571428573</v>
      </c>
      <c r="R36" s="3"/>
      <c r="Z36" s="15"/>
      <c r="AA36" s="15"/>
      <c r="AB36" s="15"/>
      <c r="AC36" s="15"/>
    </row>
    <row r="37" spans="2:29" ht="7.5" hidden="1" customHeight="1" x14ac:dyDescent="0.35">
      <c r="B37" s="162"/>
      <c r="C37" s="1"/>
      <c r="D37" s="30"/>
      <c r="E37" s="30"/>
      <c r="F37" s="30"/>
      <c r="G37" s="30"/>
      <c r="H37" s="30"/>
      <c r="I37" s="30"/>
      <c r="J37" s="30"/>
      <c r="K37" s="30"/>
      <c r="L37" s="30"/>
      <c r="M37" s="30"/>
      <c r="N37" s="30"/>
      <c r="O37" s="30"/>
      <c r="P37" s="30"/>
      <c r="Q37" s="30">
        <v>0.85</v>
      </c>
      <c r="Z37" s="15"/>
      <c r="AA37" s="15"/>
      <c r="AB37" s="15"/>
      <c r="AC37" s="15"/>
    </row>
    <row r="38" spans="2:29" ht="14.5" hidden="1" customHeight="1" x14ac:dyDescent="0.35">
      <c r="B38" s="162"/>
      <c r="C38" s="16" t="s">
        <v>294</v>
      </c>
      <c r="D38" s="66" t="s">
        <v>438</v>
      </c>
      <c r="E38" s="66">
        <f>IFERROR(VLOOKUP(E$4, 'G&amp;A bed avail.'!$AW$22:$BE$35,2,FALSE),"")</f>
        <v>0</v>
      </c>
      <c r="F38" s="66">
        <f>IFERROR(VLOOKUP(F$4, 'G&amp;A bed avail.'!$AW$22:$BE$35,2,FALSE),"")</f>
        <v>0</v>
      </c>
      <c r="G38" s="66">
        <f>IFERROR(VLOOKUP(G$4, 'G&amp;A bed avail.'!$AW$22:$BE$35,2,FALSE),"")</f>
        <v>0</v>
      </c>
      <c r="H38" s="66">
        <f>IFERROR(VLOOKUP(H$4, 'G&amp;A bed avail.'!$AW$22:$BE$35,2,FALSE),"")</f>
        <v>0</v>
      </c>
      <c r="I38" s="66">
        <f>IFERROR(VLOOKUP(I$4, 'G&amp;A bed avail.'!$AW$22:$BE$35,2,FALSE),"")</f>
        <v>0</v>
      </c>
      <c r="J38" s="66">
        <f>IFERROR(VLOOKUP(J$4, 'G&amp;A bed avail.'!$AW$22:$BE$35,2,FALSE),"")</f>
        <v>0</v>
      </c>
      <c r="K38" s="66">
        <f>IFERROR(VLOOKUP(K$4, 'G&amp;A bed avail.'!$AW$22:$BE$35,2,FALSE),"")</f>
        <v>0</v>
      </c>
      <c r="L38" s="66">
        <f>IFERROR(VLOOKUP(L$4, 'G&amp;A bed avail.'!$AW$22:$BE$35,2,FALSE),"")</f>
        <v>0</v>
      </c>
      <c r="M38" s="66">
        <f>IFERROR(VLOOKUP(M$4, 'G&amp;A bed avail.'!$AW$22:$BE$35,2,FALSE),"")</f>
        <v>0</v>
      </c>
      <c r="N38" s="66">
        <f>IFERROR(VLOOKUP(N$4, 'G&amp;A bed avail.'!$AW$22:$BE$35,2,FALSE),"")</f>
        <v>0</v>
      </c>
      <c r="O38" s="66">
        <f>IFERROR(VLOOKUP(O$4, 'G&amp;A bed avail.'!$AW$22:$BE$35,2,FALSE),"")</f>
        <v>0</v>
      </c>
      <c r="P38" s="66">
        <f>IFERROR(VLOOKUP(P$4, 'G&amp;A bed avail.'!$AW$22:$BE$35,2,FALSE),"")</f>
        <v>0</v>
      </c>
      <c r="Q38" s="78" t="str">
        <f>IFERROR(VLOOKUP(Q$4, 'G&amp;A bed avail.'!$AW$22:$BD$36,2,FALSE),"")</f>
        <v/>
      </c>
      <c r="R38" s="2"/>
      <c r="Z38" s="15"/>
      <c r="AA38" s="15"/>
      <c r="AB38" s="15"/>
      <c r="AC38" s="15"/>
    </row>
    <row r="39" spans="2:29" ht="14.5" hidden="1" customHeight="1" x14ac:dyDescent="0.35">
      <c r="B39" s="162"/>
      <c r="C39" s="1" t="s">
        <v>1</v>
      </c>
      <c r="D39" s="134" t="s">
        <v>438</v>
      </c>
      <c r="E39" s="134">
        <f>IFERROR(VLOOKUP(E$4, 'G&amp;A bed avail.'!$AW$22:$BE$35,3,FALSE),"")</f>
        <v>0</v>
      </c>
      <c r="F39" s="134">
        <f>IFERROR(VLOOKUP(F$4, 'G&amp;A bed avail.'!$AW$22:$BE$35,3,FALSE),"")</f>
        <v>0</v>
      </c>
      <c r="G39" s="134">
        <f>IFERROR(VLOOKUP(G$4, 'G&amp;A bed avail.'!$AW$22:$BE$35,3,FALSE),"")</f>
        <v>0</v>
      </c>
      <c r="H39" s="134">
        <f>IFERROR(VLOOKUP(H$4, 'G&amp;A bed avail.'!$AW$22:$BE$35,3,FALSE),"")</f>
        <v>0</v>
      </c>
      <c r="I39" s="134">
        <f>IFERROR(VLOOKUP(I$4, 'G&amp;A bed avail.'!$AW$22:$BE$35,3,FALSE),"")</f>
        <v>0</v>
      </c>
      <c r="J39" s="134">
        <f>IFERROR(VLOOKUP(J$4, 'G&amp;A bed avail.'!$AW$22:$BE$35,3,FALSE),"")</f>
        <v>0</v>
      </c>
      <c r="K39" s="134">
        <f>IFERROR(VLOOKUP(K$4, 'G&amp;A bed avail.'!$AW$22:$BE$35,3,FALSE),"")</f>
        <v>0</v>
      </c>
      <c r="L39" s="134">
        <f>IFERROR(VLOOKUP(L$4, 'G&amp;A bed avail.'!$AW$22:$BE$35,3,FALSE),"")</f>
        <v>0</v>
      </c>
      <c r="M39" s="134">
        <f>IFERROR(VLOOKUP(M$4, 'G&amp;A bed avail.'!$AW$22:$BE$35,3,FALSE),"")</f>
        <v>0</v>
      </c>
      <c r="N39" s="134">
        <f>IFERROR(VLOOKUP(N$4, 'G&amp;A bed avail.'!$AW$22:$BE$35,3,FALSE),"")</f>
        <v>0</v>
      </c>
      <c r="O39" s="134">
        <f>IFERROR(VLOOKUP(O$4, 'G&amp;A bed avail.'!$AW$22:$BE$35,3,FALSE),"")</f>
        <v>0</v>
      </c>
      <c r="P39" s="134">
        <f>IFERROR(VLOOKUP(P$4, 'G&amp;A bed avail.'!$AW$22:$BE$35,3,FALSE),"")</f>
        <v>0</v>
      </c>
      <c r="Q39" s="79" t="str">
        <f>IFERROR(VLOOKUP(Q$4, 'G&amp;A bed avail.'!$AW$22:$BD$36,3,FALSE),"")</f>
        <v/>
      </c>
      <c r="Z39" s="15"/>
      <c r="AA39" s="15"/>
      <c r="AB39" s="15"/>
      <c r="AC39" s="15"/>
    </row>
    <row r="40" spans="2:29" ht="15" hidden="1" customHeight="1" x14ac:dyDescent="0.35">
      <c r="B40" s="162"/>
      <c r="C40" s="1" t="s">
        <v>226</v>
      </c>
      <c r="D40" s="134" t="s">
        <v>438</v>
      </c>
      <c r="E40" s="134">
        <f>IFERROR(VLOOKUP(E$4, 'G&amp;A bed avail.'!$AW$22:$BE$35,4,FALSE),"")</f>
        <v>0</v>
      </c>
      <c r="F40" s="134">
        <f>IFERROR(VLOOKUP(F$4, 'G&amp;A bed avail.'!$AW$22:$BE$35,4,FALSE),"")</f>
        <v>0</v>
      </c>
      <c r="G40" s="134">
        <f>IFERROR(VLOOKUP(G$4, 'G&amp;A bed avail.'!$AW$22:$BE$35,4,FALSE),"")</f>
        <v>0</v>
      </c>
      <c r="H40" s="134">
        <f>IFERROR(VLOOKUP(H$4, 'G&amp;A bed avail.'!$AW$22:$BE$35,4,FALSE),"")</f>
        <v>0</v>
      </c>
      <c r="I40" s="134">
        <f>IFERROR(VLOOKUP(I$4, 'G&amp;A bed avail.'!$AW$22:$BE$35,4,FALSE),"")</f>
        <v>0</v>
      </c>
      <c r="J40" s="134">
        <f>IFERROR(VLOOKUP(J$4, 'G&amp;A bed avail.'!$AW$22:$BE$35,4,FALSE),"")</f>
        <v>0</v>
      </c>
      <c r="K40" s="134">
        <f>IFERROR(VLOOKUP(K$4, 'G&amp;A bed avail.'!$AW$22:$BE$35,4,FALSE),"")</f>
        <v>0</v>
      </c>
      <c r="L40" s="134">
        <f>IFERROR(VLOOKUP(L$4, 'G&amp;A bed avail.'!$AW$22:$BE$35,4,FALSE),"")</f>
        <v>0</v>
      </c>
      <c r="M40" s="134">
        <f>IFERROR(VLOOKUP(M$4, 'G&amp;A bed avail.'!$AW$22:$BE$35,4,FALSE),"")</f>
        <v>0</v>
      </c>
      <c r="N40" s="134">
        <f>IFERROR(VLOOKUP(N$4, 'G&amp;A bed avail.'!$AW$22:$BE$35,4,FALSE),"")</f>
        <v>0</v>
      </c>
      <c r="O40" s="134">
        <f>IFERROR(VLOOKUP(O$4, 'G&amp;A bed avail.'!$AW$22:$BE$35,4,FALSE),"")</f>
        <v>0</v>
      </c>
      <c r="P40" s="134">
        <f>IFERROR(VLOOKUP(P$4, 'G&amp;A bed avail.'!$AW$22:$BE$35,4,FALSE),"")</f>
        <v>0</v>
      </c>
      <c r="Q40" s="79" t="str">
        <f>IFERROR(VLOOKUP(Q$4, 'G&amp;A bed avail.'!$AW$22:$BD$36,4,FALSE),"")</f>
        <v/>
      </c>
      <c r="Z40" s="15"/>
      <c r="AA40" s="15"/>
      <c r="AB40" s="15"/>
      <c r="AC40" s="15"/>
    </row>
    <row r="41" spans="2:29" ht="15" hidden="1" customHeight="1" x14ac:dyDescent="0.35">
      <c r="B41" s="162"/>
      <c r="C41" s="1" t="s">
        <v>253</v>
      </c>
      <c r="D41" s="134" t="s">
        <v>438</v>
      </c>
      <c r="E41" s="134">
        <f>IFERROR(VLOOKUP(E$4, 'G&amp;A bed avail.'!$AW$22:$BE$35,8,FALSE),"")</f>
        <v>0</v>
      </c>
      <c r="F41" s="134">
        <f>IFERROR(VLOOKUP(F$4, 'G&amp;A bed avail.'!$AW$22:$BE$35,8,FALSE),"")</f>
        <v>0</v>
      </c>
      <c r="G41" s="134">
        <f>IFERROR(VLOOKUP(G$4, 'G&amp;A bed avail.'!$AW$22:$BE$35,8,FALSE),"")</f>
        <v>0</v>
      </c>
      <c r="H41" s="134">
        <f>IFERROR(VLOOKUP(H$4, 'G&amp;A bed avail.'!$AW$22:$BE$35,8,FALSE),"")</f>
        <v>0</v>
      </c>
      <c r="I41" s="134">
        <f>IFERROR(VLOOKUP(I$4, 'G&amp;A bed avail.'!$AW$22:$BE$35,8,FALSE),"")</f>
        <v>0</v>
      </c>
      <c r="J41" s="134">
        <f>IFERROR(VLOOKUP(J$4, 'G&amp;A bed avail.'!$AW$22:$BE$35,8,FALSE),"")</f>
        <v>0</v>
      </c>
      <c r="K41" s="134">
        <f>IFERROR(VLOOKUP(K$4, 'G&amp;A bed avail.'!$AW$22:$BE$35,8,FALSE),"")</f>
        <v>0</v>
      </c>
      <c r="L41" s="134">
        <f>IFERROR(VLOOKUP(L$4, 'G&amp;A bed avail.'!$AW$22:$BE$35,8,FALSE),"")</f>
        <v>0</v>
      </c>
      <c r="M41" s="134">
        <f>IFERROR(VLOOKUP(M$4, 'G&amp;A bed avail.'!$AW$22:$BE$35,8,FALSE),"")</f>
        <v>0</v>
      </c>
      <c r="N41" s="134">
        <f>IFERROR(VLOOKUP(N$4, 'G&amp;A bed avail.'!$AW$22:$BE$35,8,FALSE),"")</f>
        <v>0</v>
      </c>
      <c r="O41" s="134">
        <f>IFERROR(VLOOKUP(O$4, 'G&amp;A bed avail.'!$AW$22:$BE$35,8,FALSE),"")</f>
        <v>0</v>
      </c>
      <c r="P41" s="134">
        <f>IFERROR(VLOOKUP(P$4, 'G&amp;A bed avail.'!$AW$22:$BE$35,8,FALSE),"")</f>
        <v>0</v>
      </c>
      <c r="Q41" s="79"/>
      <c r="Z41" s="15"/>
      <c r="AA41" s="15"/>
      <c r="AB41" s="15"/>
      <c r="AC41" s="15"/>
    </row>
    <row r="42" spans="2:29" ht="15" hidden="1" customHeight="1" x14ac:dyDescent="0.35">
      <c r="B42" s="162"/>
      <c r="C42" s="1" t="s">
        <v>254</v>
      </c>
      <c r="D42" s="134" t="s">
        <v>438</v>
      </c>
      <c r="E42" s="134">
        <f>IFERROR(VLOOKUP(E$4, 'G&amp;A bed avail.'!$AW$22:$BE$35,5,FALSE),"")</f>
        <v>0</v>
      </c>
      <c r="F42" s="134">
        <f>IFERROR(VLOOKUP(F$4, 'G&amp;A bed avail.'!$AW$22:$BE$35,5,FALSE),"")</f>
        <v>0</v>
      </c>
      <c r="G42" s="134">
        <f>IFERROR(VLOOKUP(G$4, 'G&amp;A bed avail.'!$AW$22:$BE$35,5,FALSE),"")</f>
        <v>0</v>
      </c>
      <c r="H42" s="134">
        <f>IFERROR(VLOOKUP(H$4, 'G&amp;A bed avail.'!$AW$22:$BE$35,5,FALSE),"")</f>
        <v>0</v>
      </c>
      <c r="I42" s="134">
        <f>IFERROR(VLOOKUP(I$4, 'G&amp;A bed avail.'!$AW$22:$BE$35,5,FALSE),"")</f>
        <v>0</v>
      </c>
      <c r="J42" s="134">
        <f>IFERROR(VLOOKUP(J$4, 'G&amp;A bed avail.'!$AW$22:$BE$35,5,FALSE),"")</f>
        <v>0</v>
      </c>
      <c r="K42" s="134">
        <f>IFERROR(VLOOKUP(K$4, 'G&amp;A bed avail.'!$AW$22:$BE$35,5,FALSE),"")</f>
        <v>0</v>
      </c>
      <c r="L42" s="134">
        <f>IFERROR(VLOOKUP(L$4, 'G&amp;A bed avail.'!$AW$22:$BE$35,5,FALSE),"")</f>
        <v>0</v>
      </c>
      <c r="M42" s="134">
        <f>IFERROR(VLOOKUP(M$4, 'G&amp;A bed avail.'!$AW$22:$BE$35,5,FALSE),"")</f>
        <v>0</v>
      </c>
      <c r="N42" s="134">
        <f>IFERROR(VLOOKUP(N$4, 'G&amp;A bed avail.'!$AW$22:$BE$35,5,FALSE),"")</f>
        <v>0</v>
      </c>
      <c r="O42" s="134">
        <f>IFERROR(VLOOKUP(O$4, 'G&amp;A bed avail.'!$AW$22:$BE$35,5,FALSE),"")</f>
        <v>0</v>
      </c>
      <c r="P42" s="134">
        <f>IFERROR(VLOOKUP(P$4, 'G&amp;A bed avail.'!$AW$22:$BE$35,5,FALSE),"")</f>
        <v>0</v>
      </c>
      <c r="Q42" s="79"/>
      <c r="Z42" s="15"/>
      <c r="AA42" s="15"/>
      <c r="AB42" s="15"/>
      <c r="AC42" s="15"/>
    </row>
    <row r="43" spans="2:29" ht="14.5" hidden="1" customHeight="1" x14ac:dyDescent="0.35">
      <c r="B43" s="162"/>
      <c r="C43" s="1" t="s">
        <v>256</v>
      </c>
      <c r="D43" s="134" t="s">
        <v>438</v>
      </c>
      <c r="E43" s="134">
        <f>IFERROR(VLOOKUP(E$4, 'G&amp;A bed avail.'!$AW$22:$BE$35,9,FALSE),"")</f>
        <v>0</v>
      </c>
      <c r="F43" s="134">
        <f>IFERROR(VLOOKUP(F$4, 'G&amp;A bed avail.'!$AW$22:$BE$35,9,FALSE),"")</f>
        <v>0</v>
      </c>
      <c r="G43" s="134">
        <f>IFERROR(VLOOKUP(G$4, 'G&amp;A bed avail.'!$AW$22:$BE$35,9,FALSE),"")</f>
        <v>0</v>
      </c>
      <c r="H43" s="134">
        <f>IFERROR(VLOOKUP(H$4, 'G&amp;A bed avail.'!$AW$22:$BE$35,9,FALSE),"")</f>
        <v>0</v>
      </c>
      <c r="I43" s="134">
        <f>IFERROR(VLOOKUP(I$4, 'G&amp;A bed avail.'!$AW$22:$BE$35,9,FALSE),"")</f>
        <v>0</v>
      </c>
      <c r="J43" s="134">
        <f>IFERROR(VLOOKUP(J$4, 'G&amp;A bed avail.'!$AW$22:$BE$35,9,FALSE),"")</f>
        <v>0</v>
      </c>
      <c r="K43" s="134">
        <f>IFERROR(VLOOKUP(K$4, 'G&amp;A bed avail.'!$AW$22:$BE$35,9,FALSE),"")</f>
        <v>0</v>
      </c>
      <c r="L43" s="134">
        <f>IFERROR(VLOOKUP(L$4, 'G&amp;A bed avail.'!$AW$22:$BE$35,9,FALSE),"")</f>
        <v>0</v>
      </c>
      <c r="M43" s="134">
        <f>IFERROR(VLOOKUP(M$4, 'G&amp;A bed avail.'!$AW$22:$BE$35,9,FALSE),"")</f>
        <v>0</v>
      </c>
      <c r="N43" s="134">
        <f>IFERROR(VLOOKUP(N$4, 'G&amp;A bed avail.'!$AW$22:$BE$35,9,FALSE),"")</f>
        <v>0</v>
      </c>
      <c r="O43" s="134">
        <f>IFERROR(VLOOKUP(O$4, 'G&amp;A bed avail.'!$AW$22:$BE$35,9,FALSE),"")</f>
        <v>0</v>
      </c>
      <c r="P43" s="134">
        <f>IFERROR(VLOOKUP(P$4, 'G&amp;A bed avail.'!$AW$22:$BE$35,9,FALSE),"")</f>
        <v>0</v>
      </c>
      <c r="Q43" s="79" t="str">
        <f>IFERROR(VLOOKUP(Q$4, 'G&amp;A bed avail.'!$AW$22:$BD$36,5,FALSE),"")</f>
        <v/>
      </c>
      <c r="Z43" s="15"/>
      <c r="AA43" s="15"/>
      <c r="AB43" s="15"/>
      <c r="AC43" s="15"/>
    </row>
    <row r="44" spans="2:29" ht="14.5" hidden="1" customHeight="1" x14ac:dyDescent="0.35">
      <c r="B44" s="162"/>
      <c r="C44" s="1" t="s">
        <v>223</v>
      </c>
      <c r="D44" s="134" t="s">
        <v>438</v>
      </c>
      <c r="E44" s="134">
        <f>IFERROR(VLOOKUP(E$4, 'G&amp;A bed avail.'!$AW$22:$BE$35,6,FALSE),"")</f>
        <v>0</v>
      </c>
      <c r="F44" s="134">
        <f>IFERROR(VLOOKUP(F$4, 'G&amp;A bed avail.'!$AW$22:$BE$35,6,FALSE),"")</f>
        <v>0</v>
      </c>
      <c r="G44" s="134">
        <f>IFERROR(VLOOKUP(G$4, 'G&amp;A bed avail.'!$AW$22:$BE$35,6,FALSE),"")</f>
        <v>0</v>
      </c>
      <c r="H44" s="134">
        <f>IFERROR(VLOOKUP(H$4, 'G&amp;A bed avail.'!$AW$22:$BE$35,6,FALSE),"")</f>
        <v>0</v>
      </c>
      <c r="I44" s="134">
        <f>IFERROR(VLOOKUP(I$4, 'G&amp;A bed avail.'!$AW$22:$BE$35,6,FALSE),"")</f>
        <v>0</v>
      </c>
      <c r="J44" s="134">
        <f>IFERROR(VLOOKUP(J$4, 'G&amp;A bed avail.'!$AW$22:$BE$35,6,FALSE),"")</f>
        <v>0</v>
      </c>
      <c r="K44" s="134">
        <f>IFERROR(VLOOKUP(K$4, 'G&amp;A bed avail.'!$AW$22:$BE$35,6,FALSE),"")</f>
        <v>0</v>
      </c>
      <c r="L44" s="134">
        <f>IFERROR(VLOOKUP(L$4, 'G&amp;A bed avail.'!$AW$22:$BE$35,6,FALSE),"")</f>
        <v>0</v>
      </c>
      <c r="M44" s="134">
        <f>IFERROR(VLOOKUP(M$4, 'G&amp;A bed avail.'!$AW$22:$BE$35,6,FALSE),"")</f>
        <v>0</v>
      </c>
      <c r="N44" s="134">
        <f>IFERROR(VLOOKUP(N$4, 'G&amp;A bed avail.'!$AW$22:$BE$35,6,FALSE),"")</f>
        <v>0</v>
      </c>
      <c r="O44" s="134">
        <f>IFERROR(VLOOKUP(O$4, 'G&amp;A bed avail.'!$AW$22:$BE$35,6,FALSE),"")</f>
        <v>0</v>
      </c>
      <c r="P44" s="134">
        <f>IFERROR(VLOOKUP(P$4, 'G&amp;A bed avail.'!$AW$22:$BE$35,6,FALSE),"")</f>
        <v>0</v>
      </c>
      <c r="Q44" s="79" t="str">
        <f>IFERROR(VLOOKUP(Q$4, 'G&amp;A bed avail.'!$AW$22:$BD$36,6,FALSE),"")</f>
        <v/>
      </c>
      <c r="Z44" s="15"/>
      <c r="AA44" s="15"/>
      <c r="AB44" s="15"/>
      <c r="AC44" s="15"/>
    </row>
    <row r="45" spans="2:29" ht="14.5" hidden="1" customHeight="1" x14ac:dyDescent="0.35">
      <c r="B45" s="162"/>
      <c r="C45" s="11" t="s">
        <v>224</v>
      </c>
      <c r="D45" s="134" t="s">
        <v>438</v>
      </c>
      <c r="E45" s="134">
        <f>IFERROR(VLOOKUP(E$4, 'G&amp;A bed avail.'!$AW$22:$BE$35,7,FALSE),"")</f>
        <v>0</v>
      </c>
      <c r="F45" s="134">
        <f>IFERROR(VLOOKUP(F$4, 'G&amp;A bed avail.'!$AW$22:$BE$35,7,FALSE),"")</f>
        <v>0</v>
      </c>
      <c r="G45" s="134">
        <f>IFERROR(VLOOKUP(G$4, 'G&amp;A bed avail.'!$AW$22:$BE$35,7,FALSE),"")</f>
        <v>0</v>
      </c>
      <c r="H45" s="134">
        <f>IFERROR(VLOOKUP(H$4, 'G&amp;A bed avail.'!$AW$22:$BE$35,7,FALSE),"")</f>
        <v>0</v>
      </c>
      <c r="I45" s="134">
        <f>IFERROR(VLOOKUP(I$4, 'G&amp;A bed avail.'!$AW$22:$BE$35,7,FALSE),"")</f>
        <v>0</v>
      </c>
      <c r="J45" s="134">
        <f>IFERROR(VLOOKUP(J$4, 'G&amp;A bed avail.'!$AW$22:$BE$35,7,FALSE),"")</f>
        <v>0</v>
      </c>
      <c r="K45" s="134">
        <f>IFERROR(VLOOKUP(K$4, 'G&amp;A bed avail.'!$AW$22:$BE$35,7,FALSE),"")</f>
        <v>0</v>
      </c>
      <c r="L45" s="134">
        <f>IFERROR(VLOOKUP(L$4, 'G&amp;A bed avail.'!$AW$22:$BE$35,7,FALSE),"")</f>
        <v>0</v>
      </c>
      <c r="M45" s="134">
        <f>IFERROR(VLOOKUP(M$4, 'G&amp;A bed avail.'!$AW$22:$BE$35,7,FALSE),"")</f>
        <v>0</v>
      </c>
      <c r="N45" s="134">
        <f>IFERROR(VLOOKUP(N$4, 'G&amp;A bed avail.'!$AW$22:$BE$35,7,FALSE),"")</f>
        <v>0</v>
      </c>
      <c r="O45" s="134">
        <f>IFERROR(VLOOKUP(O$4, 'G&amp;A bed avail.'!$AW$22:$BE$35,7,FALSE),"")</f>
        <v>0</v>
      </c>
      <c r="P45" s="134">
        <f>IFERROR(VLOOKUP(P$4, 'G&amp;A bed avail.'!$AW$22:$BE$35,7,FALSE),"")</f>
        <v>0</v>
      </c>
      <c r="Q45" s="79" t="str">
        <f>IFERROR(VLOOKUP(Q$4, 'G&amp;A bed avail.'!$AW$22:$BD$36,7,FALSE),"")</f>
        <v/>
      </c>
      <c r="Z45" s="15"/>
      <c r="AA45" s="15"/>
      <c r="AB45" s="15"/>
      <c r="AC45" s="15"/>
    </row>
    <row r="46" spans="2:29" ht="7.5" hidden="1" customHeight="1" x14ac:dyDescent="0.35">
      <c r="B46" s="162"/>
      <c r="C46" s="1"/>
      <c r="D46" s="33"/>
      <c r="E46" s="33"/>
      <c r="F46" s="33"/>
      <c r="G46" s="33"/>
      <c r="H46" s="33"/>
      <c r="I46" s="33"/>
      <c r="J46" s="33"/>
      <c r="K46" s="33"/>
      <c r="L46" s="33"/>
      <c r="M46" s="33"/>
      <c r="N46" s="33"/>
      <c r="O46" s="33"/>
      <c r="P46" s="33"/>
      <c r="Q46" s="33"/>
      <c r="Z46" s="15"/>
      <c r="AA46" s="15"/>
      <c r="AB46" s="15"/>
      <c r="AC46" s="15"/>
    </row>
    <row r="47" spans="2:29" ht="14.5" hidden="1" customHeight="1" x14ac:dyDescent="0.35">
      <c r="B47" s="162"/>
      <c r="C47" s="1" t="s">
        <v>215</v>
      </c>
      <c r="D47" s="169" t="s">
        <v>252</v>
      </c>
      <c r="E47" s="170"/>
      <c r="F47" s="171"/>
      <c r="G47" s="169" t="s">
        <v>296</v>
      </c>
      <c r="H47" s="170"/>
      <c r="I47" s="170"/>
      <c r="J47" s="170"/>
      <c r="K47" s="164" t="s">
        <v>294</v>
      </c>
      <c r="L47" s="165"/>
      <c r="M47" s="165"/>
      <c r="N47" s="166" t="s">
        <v>438</v>
      </c>
      <c r="O47" s="166"/>
      <c r="P47" s="166"/>
      <c r="Q47" s="76"/>
      <c r="R47" s="58"/>
      <c r="Z47" s="15"/>
      <c r="AA47" s="15"/>
      <c r="AB47" s="15"/>
      <c r="AC47" s="15"/>
    </row>
    <row r="48" spans="2:29" ht="7.5" hidden="1" customHeight="1" x14ac:dyDescent="0.35">
      <c r="B48" s="162"/>
      <c r="C48" s="1"/>
      <c r="D48" s="33"/>
      <c r="E48" s="33"/>
      <c r="F48" s="33"/>
      <c r="G48" s="33"/>
      <c r="H48" s="33"/>
      <c r="I48" s="33"/>
      <c r="J48" s="33"/>
      <c r="K48" s="33"/>
      <c r="L48" s="33"/>
      <c r="M48" s="33"/>
      <c r="N48" s="33"/>
      <c r="O48" s="33"/>
      <c r="P48" s="33"/>
      <c r="Q48" s="33"/>
      <c r="Z48" s="15"/>
      <c r="AA48" s="15"/>
      <c r="AB48" s="15"/>
      <c r="AC48" s="15"/>
    </row>
    <row r="49" spans="2:29" ht="15" customHeight="1" x14ac:dyDescent="0.35">
      <c r="B49" s="162"/>
      <c r="C49" s="12" t="s">
        <v>219</v>
      </c>
      <c r="D49" s="123">
        <v>96049.428571428565</v>
      </c>
      <c r="E49" s="123">
        <v>95721.28571428571</v>
      </c>
      <c r="F49" s="123">
        <v>95395.28571428571</v>
      </c>
      <c r="G49" s="123">
        <v>94648.428571428565</v>
      </c>
      <c r="H49" s="123">
        <v>96218.28571428571</v>
      </c>
      <c r="I49" s="123">
        <v>97248</v>
      </c>
      <c r="J49" s="123">
        <v>97580</v>
      </c>
      <c r="K49" s="123">
        <v>97549.28571428571</v>
      </c>
      <c r="L49" s="123">
        <v>98129.28571428571</v>
      </c>
      <c r="M49" s="123">
        <v>98029.857142857145</v>
      </c>
      <c r="N49" s="123">
        <v>98184.571428571435</v>
      </c>
      <c r="O49" s="123">
        <v>97819.142857142855</v>
      </c>
      <c r="P49" s="123">
        <v>97627.857142857145</v>
      </c>
      <c r="Q49" s="124"/>
      <c r="Z49" s="163" t="s">
        <v>220</v>
      </c>
      <c r="AA49" s="163"/>
      <c r="AB49" s="163"/>
      <c r="AC49" s="163"/>
    </row>
    <row r="50" spans="2:29" ht="15" customHeight="1" x14ac:dyDescent="0.35">
      <c r="B50" s="162"/>
      <c r="C50" s="1" t="s">
        <v>252</v>
      </c>
      <c r="D50" s="86">
        <v>96675</v>
      </c>
      <c r="E50" s="86">
        <v>97067.71428571429</v>
      </c>
      <c r="F50" s="86">
        <v>97017.857142857145</v>
      </c>
      <c r="G50" s="86">
        <v>95816.71428571429</v>
      </c>
      <c r="H50" s="86">
        <v>97143.142857142855</v>
      </c>
      <c r="I50" s="86">
        <v>98417.571428571435</v>
      </c>
      <c r="J50" s="86">
        <v>98204</v>
      </c>
      <c r="K50" s="86">
        <v>97990</v>
      </c>
      <c r="L50" s="86">
        <v>98031.142857142855</v>
      </c>
      <c r="M50" s="86">
        <v>97854.71428571429</v>
      </c>
      <c r="N50" s="86">
        <v>97860.142857142855</v>
      </c>
      <c r="O50" s="86">
        <v>97790.28571428571</v>
      </c>
      <c r="P50" s="86">
        <v>97553.857142857145</v>
      </c>
      <c r="R50" s="3"/>
      <c r="Z50" s="163"/>
      <c r="AA50" s="163"/>
      <c r="AB50" s="163"/>
      <c r="AC50" s="163"/>
    </row>
    <row r="51" spans="2:29" ht="7.5" customHeight="1" x14ac:dyDescent="0.35">
      <c r="B51" s="162"/>
      <c r="C51" s="1"/>
      <c r="D51" s="30">
        <v>0.85</v>
      </c>
      <c r="E51" s="30">
        <v>0.85</v>
      </c>
      <c r="F51" s="30">
        <v>0.85</v>
      </c>
      <c r="G51" s="30">
        <v>0.85</v>
      </c>
      <c r="H51" s="30">
        <v>0.85</v>
      </c>
      <c r="I51" s="30">
        <v>0.85</v>
      </c>
      <c r="J51" s="30">
        <v>0.85</v>
      </c>
      <c r="K51" s="30">
        <v>0.85</v>
      </c>
      <c r="L51" s="30">
        <v>0.85</v>
      </c>
      <c r="M51" s="30">
        <v>0.85</v>
      </c>
      <c r="N51" s="30">
        <v>0.85</v>
      </c>
      <c r="O51" s="30">
        <v>0.85</v>
      </c>
      <c r="P51" s="30">
        <v>0.85</v>
      </c>
      <c r="Q51" s="30">
        <v>0.85</v>
      </c>
      <c r="Z51" s="163"/>
      <c r="AA51" s="163"/>
      <c r="AB51" s="163"/>
      <c r="AC51" s="163"/>
    </row>
    <row r="52" spans="2:29" x14ac:dyDescent="0.35">
      <c r="B52" s="162"/>
      <c r="C52" s="16" t="s">
        <v>294</v>
      </c>
      <c r="D52" s="60">
        <f>IFERROR(VLOOKUP(D$4, 'G&amp;A bed avail.'!$AW$38:$BE$52,2,FALSE),"")</f>
        <v>88947.428571428565</v>
      </c>
      <c r="E52" s="106">
        <f>IFERROR(VLOOKUP(E$4, 'G&amp;A bed avail.'!$AW$38:$BE$52,2,FALSE),"")</f>
        <v>89394.142857142855</v>
      </c>
      <c r="F52" s="106">
        <f>IFERROR(VLOOKUP(F$4, 'G&amp;A bed avail.'!$AW$38:$BE$52,2,FALSE),"")</f>
        <v>89677.571428571435</v>
      </c>
      <c r="G52" s="106">
        <f>IFERROR(VLOOKUP(G$4, 'G&amp;A bed avail.'!$AW$38:$BE$52,2,FALSE),"")</f>
        <v>88347.428571428565</v>
      </c>
      <c r="H52" s="106">
        <f>IFERROR(VLOOKUP(H$4, 'G&amp;A bed avail.'!$AW$38:$BE$52,2,FALSE),"")</f>
        <v>89398.857142857145</v>
      </c>
      <c r="I52" s="106">
        <f>IFERROR(VLOOKUP(I$4, 'G&amp;A bed avail.'!$AW$38:$BE$52,2,FALSE),"")</f>
        <v>90884.571428571435</v>
      </c>
      <c r="J52" s="121">
        <f>IFERROR(VLOOKUP(J$4, 'G&amp;A bed avail.'!$AW$38:$BE$52,2,FALSE),"")</f>
        <v>90895.428571428565</v>
      </c>
      <c r="K52" s="106">
        <f>IFERROR(VLOOKUP(K$4, 'G&amp;A bed avail.'!$AW$38:$BE$52,2,FALSE),"")</f>
        <v>90505.571428571435</v>
      </c>
      <c r="L52" s="106">
        <f>IFERROR(VLOOKUP(L$4, 'G&amp;A bed avail.'!$AW$38:$BE$52,2,FALSE),"")</f>
        <v>90643.142857142855</v>
      </c>
      <c r="M52" s="106">
        <f>IFERROR(VLOOKUP(M$4, 'G&amp;A bed avail.'!$AW$38:$BE$52,2,FALSE),"")</f>
        <v>90539</v>
      </c>
      <c r="N52" s="106">
        <f>IFERROR(VLOOKUP(N$4, 'G&amp;A bed avail.'!$AW$38:$BE$52,2,FALSE),"")</f>
        <v>89811.571428571435</v>
      </c>
      <c r="O52" s="106">
        <f>IFERROR(VLOOKUP(O$4, 'G&amp;A bed avail.'!$AW$38:$BE$52,2,FALSE),"")</f>
        <v>89457.571428571435</v>
      </c>
      <c r="P52" s="106">
        <f>IFERROR(VLOOKUP(P$4, 'G&amp;A bed avail.'!$AW$38:$BE$52,2,FALSE),"")</f>
        <v>89619.142857142855</v>
      </c>
      <c r="Q52" s="78" t="str">
        <f>IFERROR(VLOOKUP(Q$4, 'G&amp;A bed avail.'!$AW$38:$BD$52,2,FALSE),"")</f>
        <v/>
      </c>
      <c r="R52" s="2"/>
      <c r="Z52" s="163"/>
      <c r="AA52" s="163"/>
      <c r="AB52" s="163"/>
      <c r="AC52" s="163"/>
    </row>
    <row r="53" spans="2:29" ht="14.5" customHeight="1" x14ac:dyDescent="0.35">
      <c r="B53" s="162"/>
      <c r="C53" s="1" t="s">
        <v>1</v>
      </c>
      <c r="D53" s="134">
        <f>IFERROR(VLOOKUP(D$4, 'G&amp;A bed avail.'!$AW$38:$BE$52,3,FALSE),"")</f>
        <v>12514.428571428571</v>
      </c>
      <c r="E53" s="134">
        <f>IFERROR(VLOOKUP(E$4, 'G&amp;A bed avail.'!$AW$38:$BE$52,3,FALSE),"")</f>
        <v>12644</v>
      </c>
      <c r="F53" s="134">
        <f>IFERROR(VLOOKUP(F$4, 'G&amp;A bed avail.'!$AW$38:$BE$52,3,FALSE),"")</f>
        <v>12700.428571428571</v>
      </c>
      <c r="G53" s="134">
        <f>IFERROR(VLOOKUP(G$4, 'G&amp;A bed avail.'!$AW$38:$BE$52,3,FALSE),"")</f>
        <v>12533.285714285714</v>
      </c>
      <c r="H53" s="134">
        <f>IFERROR(VLOOKUP(H$4, 'G&amp;A bed avail.'!$AW$38:$BE$52,3,FALSE),"")</f>
        <v>12667.857142857143</v>
      </c>
      <c r="I53" s="134">
        <f>IFERROR(VLOOKUP(I$4, 'G&amp;A bed avail.'!$AW$38:$BE$52,3,FALSE),"")</f>
        <v>12968</v>
      </c>
      <c r="J53" s="134">
        <f>IFERROR(VLOOKUP(J$4, 'G&amp;A bed avail.'!$AW$38:$BE$52,3,FALSE),"")</f>
        <v>12905</v>
      </c>
      <c r="K53" s="134">
        <f>IFERROR(VLOOKUP(K$4, 'G&amp;A bed avail.'!$AW$38:$BE$52,3,FALSE),"")</f>
        <v>12748.571428571429</v>
      </c>
      <c r="L53" s="134">
        <f>IFERROR(VLOOKUP(L$4, 'G&amp;A bed avail.'!$AW$38:$BE$52,3,FALSE),"")</f>
        <v>12595.428571428571</v>
      </c>
      <c r="M53" s="134">
        <f>IFERROR(VLOOKUP(M$4, 'G&amp;A bed avail.'!$AW$38:$BE$52,3,FALSE),"")</f>
        <v>12460.857142857143</v>
      </c>
      <c r="N53" s="134">
        <f>IFERROR(VLOOKUP(N$4, 'G&amp;A bed avail.'!$AW$38:$BE$52,3,FALSE),"")</f>
        <v>12202.571428571429</v>
      </c>
      <c r="O53" s="134">
        <f>IFERROR(VLOOKUP(O$4, 'G&amp;A bed avail.'!$AW$38:$BE$52,3,FALSE),"")</f>
        <v>12189.571428571429</v>
      </c>
      <c r="P53" s="134">
        <f>IFERROR(VLOOKUP(P$4, 'G&amp;A bed avail.'!$AW$38:$BE$52,3,FALSE),"")</f>
        <v>12215.571428571429</v>
      </c>
      <c r="Q53" s="79" t="str">
        <f>IFERROR(VLOOKUP(Q$4, 'G&amp;A bed avail.'!$AW$38:$BD$52,3,FALSE),"")</f>
        <v/>
      </c>
      <c r="Z53" s="160" t="s">
        <v>444</v>
      </c>
      <c r="AA53" s="160"/>
      <c r="AB53" s="160"/>
      <c r="AC53" s="160"/>
    </row>
    <row r="54" spans="2:29" ht="15" customHeight="1" x14ac:dyDescent="0.35">
      <c r="B54" s="162"/>
      <c r="C54" s="1" t="s">
        <v>226</v>
      </c>
      <c r="D54" s="134">
        <f>IFERROR(VLOOKUP(D$4, 'G&amp;A bed avail.'!$AW$38:$BE$52,4,FALSE),"")</f>
        <v>17134.428571428572</v>
      </c>
      <c r="E54" s="134">
        <f>IFERROR(VLOOKUP(E$4, 'G&amp;A bed avail.'!$AW$38:$BE$52,4,FALSE),"")</f>
        <v>17175.857142857141</v>
      </c>
      <c r="F54" s="134">
        <f>IFERROR(VLOOKUP(F$4, 'G&amp;A bed avail.'!$AW$38:$BE$52,4,FALSE),"")</f>
        <v>17186.857142857141</v>
      </c>
      <c r="G54" s="134">
        <f>IFERROR(VLOOKUP(G$4, 'G&amp;A bed avail.'!$AW$38:$BE$52,4,FALSE),"")</f>
        <v>17108.571428571428</v>
      </c>
      <c r="H54" s="134">
        <f>IFERROR(VLOOKUP(H$4, 'G&amp;A bed avail.'!$AW$38:$BE$52,4,FALSE),"")</f>
        <v>17254.285714285714</v>
      </c>
      <c r="I54" s="134">
        <f>IFERROR(VLOOKUP(I$4, 'G&amp;A bed avail.'!$AW$38:$BE$52,4,FALSE),"")</f>
        <v>17537.571428571428</v>
      </c>
      <c r="J54" s="134">
        <f>IFERROR(VLOOKUP(J$4, 'G&amp;A bed avail.'!$AW$38:$BE$52,4,FALSE),"")</f>
        <v>17627.285714285714</v>
      </c>
      <c r="K54" s="134">
        <f>IFERROR(VLOOKUP(K$4, 'G&amp;A bed avail.'!$AW$38:$BE$52,4,FALSE),"")</f>
        <v>17570.142857142859</v>
      </c>
      <c r="L54" s="134">
        <f>IFERROR(VLOOKUP(L$4, 'G&amp;A bed avail.'!$AW$38:$BE$52,4,FALSE),"")</f>
        <v>17692.714285714286</v>
      </c>
      <c r="M54" s="134">
        <f>IFERROR(VLOOKUP(M$4, 'G&amp;A bed avail.'!$AW$38:$BE$52,4,FALSE),"")</f>
        <v>17582.571428571428</v>
      </c>
      <c r="N54" s="134">
        <f>IFERROR(VLOOKUP(N$4, 'G&amp;A bed avail.'!$AW$38:$BE$52,4,FALSE),"")</f>
        <v>17453.142857142859</v>
      </c>
      <c r="O54" s="134">
        <f>IFERROR(VLOOKUP(O$4, 'G&amp;A bed avail.'!$AW$38:$BE$52,4,FALSE),"")</f>
        <v>17333.857142857141</v>
      </c>
      <c r="P54" s="134">
        <f>IFERROR(VLOOKUP(P$4, 'G&amp;A bed avail.'!$AW$38:$BE$52,4,FALSE),"")</f>
        <v>17307.857142857141</v>
      </c>
      <c r="Q54" s="79" t="str">
        <f>IFERROR(VLOOKUP(Q$4, 'G&amp;A bed avail.'!$AW$38:$BD$52,4,FALSE),"")</f>
        <v/>
      </c>
      <c r="Z54" s="160"/>
      <c r="AA54" s="160"/>
      <c r="AB54" s="160"/>
      <c r="AC54" s="160"/>
    </row>
    <row r="55" spans="2:29" ht="15" customHeight="1" x14ac:dyDescent="0.35">
      <c r="B55" s="162"/>
      <c r="C55" s="1" t="s">
        <v>253</v>
      </c>
      <c r="D55" s="134">
        <f>IFERROR(VLOOKUP(D$4, 'G&amp;A bed avail.'!$AW$38:$BE$52,8,FALSE),"")</f>
        <v>9535.8571428571431</v>
      </c>
      <c r="E55" s="134">
        <f>IFERROR(VLOOKUP(E$4, 'G&amp;A bed avail.'!$AW$38:$BE$52,8,FALSE),"")</f>
        <v>9631.1428571428569</v>
      </c>
      <c r="F55" s="134">
        <f>IFERROR(VLOOKUP(F$4, 'G&amp;A bed avail.'!$AW$38:$BE$52,8,FALSE),"")</f>
        <v>9767.4285714285706</v>
      </c>
      <c r="G55" s="134">
        <f>IFERROR(VLOOKUP(G$4, 'G&amp;A bed avail.'!$AW$38:$BE$52,8,FALSE),"")</f>
        <v>9571.2857142857138</v>
      </c>
      <c r="H55" s="134">
        <f>IFERROR(VLOOKUP(H$4, 'G&amp;A bed avail.'!$AW$38:$BE$52,8,FALSE),"")</f>
        <v>9710.7142857142862</v>
      </c>
      <c r="I55" s="134">
        <f>IFERROR(VLOOKUP(I$4, 'G&amp;A bed avail.'!$AW$38:$BE$52,8,FALSE),"")</f>
        <v>9738</v>
      </c>
      <c r="J55" s="134">
        <f>IFERROR(VLOOKUP(J$4, 'G&amp;A bed avail.'!$AW$38:$BE$52,8,FALSE),"")</f>
        <v>9673.1428571428569</v>
      </c>
      <c r="K55" s="134">
        <f>IFERROR(VLOOKUP(K$4, 'G&amp;A bed avail.'!$AW$38:$BE$52,8,FALSE),"")</f>
        <v>9542.1428571428569</v>
      </c>
      <c r="L55" s="134">
        <f>IFERROR(VLOOKUP(L$4, 'G&amp;A bed avail.'!$AW$38:$BE$52,8,FALSE),"")</f>
        <v>9584.2857142857138</v>
      </c>
      <c r="M55" s="134">
        <f>IFERROR(VLOOKUP(M$4, 'G&amp;A bed avail.'!$AW$38:$BE$52,8,FALSE),"")</f>
        <v>9602.8571428571431</v>
      </c>
      <c r="N55" s="134">
        <f>IFERROR(VLOOKUP(N$4, 'G&amp;A bed avail.'!$AW$38:$BE$52,8,FALSE),"")</f>
        <v>9566</v>
      </c>
      <c r="O55" s="134">
        <f>IFERROR(VLOOKUP(O$4, 'G&amp;A bed avail.'!$AW$38:$BE$52,8,FALSE),"")</f>
        <v>9550.1428571428569</v>
      </c>
      <c r="P55" s="134">
        <f>IFERROR(VLOOKUP(P$4, 'G&amp;A bed avail.'!$AW$38:$BE$52,8,FALSE),"")</f>
        <v>9551</v>
      </c>
      <c r="Q55" s="79"/>
      <c r="Z55" s="160"/>
      <c r="AA55" s="160"/>
      <c r="AB55" s="160"/>
      <c r="AC55" s="160"/>
    </row>
    <row r="56" spans="2:29" ht="15" customHeight="1" x14ac:dyDescent="0.35">
      <c r="B56" s="162"/>
      <c r="C56" s="1" t="s">
        <v>254</v>
      </c>
      <c r="D56" s="134">
        <f>IFERROR(VLOOKUP(D$4, 'G&amp;A bed avail.'!$AW$38:$BE$52,5,FALSE),"")</f>
        <v>15436.571428571429</v>
      </c>
      <c r="E56" s="134">
        <f>IFERROR(VLOOKUP(E$4, 'G&amp;A bed avail.'!$AW$38:$BE$52,5,FALSE),"")</f>
        <v>15500.285714285714</v>
      </c>
      <c r="F56" s="134">
        <f>IFERROR(VLOOKUP(F$4, 'G&amp;A bed avail.'!$AW$38:$BE$52,5,FALSE),"")</f>
        <v>15533.285714285714</v>
      </c>
      <c r="G56" s="134">
        <f>IFERROR(VLOOKUP(G$4, 'G&amp;A bed avail.'!$AW$38:$BE$52,5,FALSE),"")</f>
        <v>15333.857142857143</v>
      </c>
      <c r="H56" s="134">
        <f>IFERROR(VLOOKUP(H$4, 'G&amp;A bed avail.'!$AW$38:$BE$52,5,FALSE),"")</f>
        <v>15400.285714285714</v>
      </c>
      <c r="I56" s="134">
        <f>IFERROR(VLOOKUP(I$4, 'G&amp;A bed avail.'!$AW$38:$BE$52,5,FALSE),"")</f>
        <v>15682</v>
      </c>
      <c r="J56" s="134">
        <f>IFERROR(VLOOKUP(J$4, 'G&amp;A bed avail.'!$AW$38:$BE$52,5,FALSE),"")</f>
        <v>15700.428571428571</v>
      </c>
      <c r="K56" s="134">
        <f>IFERROR(VLOOKUP(K$4, 'G&amp;A bed avail.'!$AW$38:$BE$52,5,FALSE),"")</f>
        <v>15670.428571428571</v>
      </c>
      <c r="L56" s="134">
        <f>IFERROR(VLOOKUP(L$4, 'G&amp;A bed avail.'!$AW$38:$BE$52,5,FALSE),"")</f>
        <v>15845.571428571429</v>
      </c>
      <c r="M56" s="134">
        <f>IFERROR(VLOOKUP(M$4, 'G&amp;A bed avail.'!$AW$38:$BE$52,5,FALSE),"")</f>
        <v>15792.428571428571</v>
      </c>
      <c r="N56" s="134">
        <f>IFERROR(VLOOKUP(N$4, 'G&amp;A bed avail.'!$AW$38:$BE$52,5,FALSE),"")</f>
        <v>15671.285714285714</v>
      </c>
      <c r="O56" s="134">
        <f>IFERROR(VLOOKUP(O$4, 'G&amp;A bed avail.'!$AW$38:$BE$52,5,FALSE),"")</f>
        <v>15628.285714285714</v>
      </c>
      <c r="P56" s="134">
        <f>IFERROR(VLOOKUP(P$4, 'G&amp;A bed avail.'!$AW$38:$BE$52,5,FALSE),"")</f>
        <v>15676</v>
      </c>
      <c r="Q56" s="79"/>
      <c r="Z56" s="160"/>
      <c r="AA56" s="160"/>
      <c r="AB56" s="160"/>
      <c r="AC56" s="160"/>
    </row>
    <row r="57" spans="2:29" x14ac:dyDescent="0.35">
      <c r="B57" s="162"/>
      <c r="C57" s="1" t="s">
        <v>256</v>
      </c>
      <c r="D57" s="134">
        <f>IFERROR(VLOOKUP(D$4, 'G&amp;A bed avail.'!$AW$38:$BE$52,9,FALSE),"")</f>
        <v>13105.857142857143</v>
      </c>
      <c r="E57" s="134">
        <f>IFERROR(VLOOKUP(E$4, 'G&amp;A bed avail.'!$AW$38:$BE$52,9,FALSE),"")</f>
        <v>13150.857142857143</v>
      </c>
      <c r="F57" s="134">
        <f>IFERROR(VLOOKUP(F$4, 'G&amp;A bed avail.'!$AW$38:$BE$52,9,FALSE),"")</f>
        <v>13147.714285714286</v>
      </c>
      <c r="G57" s="134">
        <f>IFERROR(VLOOKUP(G$4, 'G&amp;A bed avail.'!$AW$38:$BE$52,9,FALSE),"")</f>
        <v>12890</v>
      </c>
      <c r="H57" s="134">
        <f>IFERROR(VLOOKUP(H$4, 'G&amp;A bed avail.'!$AW$38:$BE$52,9,FALSE),"")</f>
        <v>13079.142857142857</v>
      </c>
      <c r="I57" s="134">
        <f>IFERROR(VLOOKUP(I$4, 'G&amp;A bed avail.'!$AW$38:$BE$52,9,FALSE),"")</f>
        <v>13262.857142857143</v>
      </c>
      <c r="J57" s="134">
        <f>IFERROR(VLOOKUP(J$4, 'G&amp;A bed avail.'!$AW$38:$BE$52,9,FALSE),"")</f>
        <v>13476.714285714286</v>
      </c>
      <c r="K57" s="134">
        <f>IFERROR(VLOOKUP(K$4, 'G&amp;A bed avail.'!$AW$38:$BE$52,9,FALSE),"")</f>
        <v>13534.714285714286</v>
      </c>
      <c r="L57" s="134">
        <f>IFERROR(VLOOKUP(L$4, 'G&amp;A bed avail.'!$AW$38:$BE$52,9,FALSE),"")</f>
        <v>13493.714285714286</v>
      </c>
      <c r="M57" s="134">
        <f>IFERROR(VLOOKUP(M$4, 'G&amp;A bed avail.'!$AW$38:$BE$52,9,FALSE),"")</f>
        <v>13701.428571428571</v>
      </c>
      <c r="N57" s="134">
        <f>IFERROR(VLOOKUP(N$4, 'G&amp;A bed avail.'!$AW$38:$BE$52,9,FALSE),"")</f>
        <v>13638.285714285714</v>
      </c>
      <c r="O57" s="134">
        <f>IFERROR(VLOOKUP(O$4, 'G&amp;A bed avail.'!$AW$38:$BE$52,9,FALSE),"")</f>
        <v>13551.428571428571</v>
      </c>
      <c r="P57" s="134">
        <f>IFERROR(VLOOKUP(P$4, 'G&amp;A bed avail.'!$AW$38:$BE$52,9,FALSE),"")</f>
        <v>13643.142857142857</v>
      </c>
      <c r="Q57" s="79" t="str">
        <f>IFERROR(VLOOKUP(Q$4, 'G&amp;A bed avail.'!$AW$38:$BD$52,5,FALSE),"")</f>
        <v/>
      </c>
      <c r="Z57" s="160"/>
      <c r="AA57" s="160"/>
      <c r="AB57" s="160"/>
      <c r="AC57" s="160"/>
    </row>
    <row r="58" spans="2:29" x14ac:dyDescent="0.35">
      <c r="B58" s="162"/>
      <c r="C58" s="1" t="s">
        <v>223</v>
      </c>
      <c r="D58" s="134">
        <f>IFERROR(VLOOKUP(D$4, 'G&amp;A bed avail.'!$AW$38:$BE$52,6,FALSE),"")</f>
        <v>12249.428571428571</v>
      </c>
      <c r="E58" s="134">
        <f>IFERROR(VLOOKUP(E$4, 'G&amp;A bed avail.'!$AW$38:$BE$52,6,FALSE),"")</f>
        <v>12224</v>
      </c>
      <c r="F58" s="134">
        <f>IFERROR(VLOOKUP(F$4, 'G&amp;A bed avail.'!$AW$38:$BE$52,6,FALSE),"")</f>
        <v>12275.714285714286</v>
      </c>
      <c r="G58" s="134">
        <f>IFERROR(VLOOKUP(G$4, 'G&amp;A bed avail.'!$AW$38:$BE$52,6,FALSE),"")</f>
        <v>12064.857142857143</v>
      </c>
      <c r="H58" s="134">
        <f>IFERROR(VLOOKUP(H$4, 'G&amp;A bed avail.'!$AW$38:$BE$52,6,FALSE),"")</f>
        <v>12304.142857142857</v>
      </c>
      <c r="I58" s="134">
        <f>IFERROR(VLOOKUP(I$4, 'G&amp;A bed avail.'!$AW$38:$BE$52,6,FALSE),"")</f>
        <v>12556.714285714286</v>
      </c>
      <c r="J58" s="134">
        <f>IFERROR(VLOOKUP(J$4, 'G&amp;A bed avail.'!$AW$38:$BE$52,6,FALSE),"")</f>
        <v>12478.285714285714</v>
      </c>
      <c r="K58" s="134">
        <f>IFERROR(VLOOKUP(K$4, 'G&amp;A bed avail.'!$AW$38:$BE$52,6,FALSE),"")</f>
        <v>12346.428571428571</v>
      </c>
      <c r="L58" s="134">
        <f>IFERROR(VLOOKUP(L$4, 'G&amp;A bed avail.'!$AW$38:$BE$52,6,FALSE),"")</f>
        <v>12340.428571428571</v>
      </c>
      <c r="M58" s="134">
        <f>IFERROR(VLOOKUP(M$4, 'G&amp;A bed avail.'!$AW$38:$BE$52,6,FALSE),"")</f>
        <v>12296.285714285714</v>
      </c>
      <c r="N58" s="134">
        <f>IFERROR(VLOOKUP(N$4, 'G&amp;A bed avail.'!$AW$38:$BE$52,6,FALSE),"")</f>
        <v>12147.285714285714</v>
      </c>
      <c r="O58" s="134">
        <f>IFERROR(VLOOKUP(O$4, 'G&amp;A bed avail.'!$AW$38:$BE$52,6,FALSE),"")</f>
        <v>12063.428571428571</v>
      </c>
      <c r="P58" s="134">
        <f>IFERROR(VLOOKUP(P$4, 'G&amp;A bed avail.'!$AW$38:$BE$52,6,FALSE),"")</f>
        <v>12088.571428571429</v>
      </c>
      <c r="Q58" s="79" t="str">
        <f>IFERROR(VLOOKUP(Q$4, 'G&amp;A bed avail.'!$AW$38:$BD$52,6,FALSE),"")</f>
        <v/>
      </c>
      <c r="Z58" s="160"/>
      <c r="AA58" s="160"/>
      <c r="AB58" s="160"/>
      <c r="AC58" s="160"/>
    </row>
    <row r="59" spans="2:29" x14ac:dyDescent="0.35">
      <c r="B59" s="162"/>
      <c r="C59" s="11" t="s">
        <v>224</v>
      </c>
      <c r="D59" s="134">
        <f>IFERROR(VLOOKUP(D$4, 'G&amp;A bed avail.'!$AW$38:$BE$52,7,FALSE),"")</f>
        <v>8970.8571428571431</v>
      </c>
      <c r="E59" s="134">
        <f>IFERROR(VLOOKUP(E$4, 'G&amp;A bed avail.'!$AW$38:$BE$52,7,FALSE),"")</f>
        <v>9068</v>
      </c>
      <c r="F59" s="134">
        <f>IFERROR(VLOOKUP(F$4, 'G&amp;A bed avail.'!$AW$38:$BE$52,7,FALSE),"")</f>
        <v>9066.1428571428569</v>
      </c>
      <c r="G59" s="134">
        <f>IFERROR(VLOOKUP(G$4, 'G&amp;A bed avail.'!$AW$38:$BE$52,7,FALSE),"")</f>
        <v>8845.5714285714294</v>
      </c>
      <c r="H59" s="134">
        <f>IFERROR(VLOOKUP(H$4, 'G&amp;A bed avail.'!$AW$38:$BE$52,7,FALSE),"")</f>
        <v>8982.4285714285706</v>
      </c>
      <c r="I59" s="134">
        <f>IFERROR(VLOOKUP(I$4, 'G&amp;A bed avail.'!$AW$38:$BE$52,7,FALSE),"")</f>
        <v>9139.4285714285706</v>
      </c>
      <c r="J59" s="134">
        <f>IFERROR(VLOOKUP(J$4, 'G&amp;A bed avail.'!$AW$38:$BE$52,7,FALSE),"")</f>
        <v>9034.5714285714294</v>
      </c>
      <c r="K59" s="134">
        <f>IFERROR(VLOOKUP(K$4, 'G&amp;A bed avail.'!$AW$38:$BE$52,7,FALSE),"")</f>
        <v>9093.1428571428569</v>
      </c>
      <c r="L59" s="134">
        <f>IFERROR(VLOOKUP(L$4, 'G&amp;A bed avail.'!$AW$38:$BE$52,7,FALSE),"")</f>
        <v>9091</v>
      </c>
      <c r="M59" s="134">
        <f>IFERROR(VLOOKUP(M$4, 'G&amp;A bed avail.'!$AW$38:$BE$52,7,FALSE),"")</f>
        <v>9102.5714285714294</v>
      </c>
      <c r="N59" s="134">
        <f>IFERROR(VLOOKUP(N$4, 'G&amp;A bed avail.'!$AW$38:$BE$52,7,FALSE),"")</f>
        <v>9133</v>
      </c>
      <c r="O59" s="134">
        <f>IFERROR(VLOOKUP(O$4, 'G&amp;A bed avail.'!$AW$38:$BE$52,7,FALSE),"")</f>
        <v>9140.8571428571431</v>
      </c>
      <c r="P59" s="134">
        <f>IFERROR(VLOOKUP(P$4, 'G&amp;A bed avail.'!$AW$38:$BE$52,7,FALSE),"")</f>
        <v>9137</v>
      </c>
      <c r="Q59" s="79" t="str">
        <f>IFERROR(VLOOKUP(Q$4, 'G&amp;A bed avail.'!$AW$38:$BD$52,7,FALSE),"")</f>
        <v/>
      </c>
      <c r="Z59" s="160"/>
      <c r="AA59" s="160"/>
      <c r="AB59" s="160"/>
      <c r="AC59" s="160"/>
    </row>
    <row r="60" spans="2:29" ht="7.5" customHeight="1" x14ac:dyDescent="0.35">
      <c r="B60" s="162"/>
      <c r="C60" s="1"/>
      <c r="D60" s="33"/>
      <c r="E60" s="33"/>
      <c r="F60" s="33"/>
      <c r="G60" s="33"/>
      <c r="H60" s="33"/>
      <c r="I60" s="33"/>
      <c r="J60" s="33"/>
      <c r="K60" s="33"/>
      <c r="L60" s="33"/>
      <c r="M60" s="33"/>
      <c r="N60" s="33"/>
      <c r="O60" s="33"/>
      <c r="P60" s="33"/>
      <c r="Q60" s="33"/>
      <c r="Z60" s="160"/>
      <c r="AA60" s="160"/>
      <c r="AB60" s="160"/>
      <c r="AC60" s="160"/>
    </row>
    <row r="61" spans="2:29" x14ac:dyDescent="0.35">
      <c r="B61" s="162"/>
      <c r="C61" s="1" t="s">
        <v>216</v>
      </c>
      <c r="D61" s="169" t="s">
        <v>252</v>
      </c>
      <c r="E61" s="170"/>
      <c r="F61" s="171"/>
      <c r="G61" s="169" t="s">
        <v>297</v>
      </c>
      <c r="H61" s="170"/>
      <c r="I61" s="170"/>
      <c r="J61" s="170"/>
      <c r="K61" s="164" t="s">
        <v>294</v>
      </c>
      <c r="L61" s="165"/>
      <c r="M61" s="165"/>
      <c r="N61" s="166" t="str">
        <f>TEXT('G&amp;A bed avail.'!BM8,"0,0")&amp;" ("&amp;TEXT('G&amp;A bed avail.'!BO8,"d-mmm")&amp;")"</f>
        <v>91,388 (13-Jan)</v>
      </c>
      <c r="O61" s="166"/>
      <c r="P61" s="166"/>
      <c r="Q61" s="76"/>
      <c r="R61" s="58"/>
      <c r="Z61" s="160"/>
      <c r="AA61" s="160"/>
      <c r="AB61" s="160"/>
      <c r="AC61" s="160"/>
    </row>
    <row r="62" spans="2:29" x14ac:dyDescent="0.35">
      <c r="B62" s="162"/>
      <c r="C62" s="1"/>
      <c r="D62" s="143"/>
      <c r="E62" s="143"/>
      <c r="F62" s="143"/>
      <c r="G62" s="143"/>
      <c r="H62" s="143"/>
      <c r="I62" s="143"/>
      <c r="J62" s="143"/>
      <c r="K62" s="144"/>
      <c r="L62" s="144"/>
      <c r="M62" s="144"/>
      <c r="N62" s="87"/>
      <c r="O62" s="87"/>
      <c r="P62" s="87"/>
      <c r="Q62" s="76"/>
      <c r="R62" s="58"/>
      <c r="Z62" s="160"/>
      <c r="AA62" s="160"/>
      <c r="AB62" s="160"/>
      <c r="AC62" s="160"/>
    </row>
    <row r="63" spans="2:29" x14ac:dyDescent="0.35">
      <c r="B63" s="162"/>
      <c r="C63" s="1"/>
      <c r="D63" s="143"/>
      <c r="E63" s="143"/>
      <c r="F63" s="143"/>
      <c r="G63" s="143"/>
      <c r="H63" s="143"/>
      <c r="I63" s="143"/>
      <c r="J63" s="143"/>
      <c r="K63" s="144"/>
      <c r="L63" s="144"/>
      <c r="M63" s="144"/>
      <c r="N63" s="87"/>
      <c r="O63" s="87"/>
      <c r="P63" s="87"/>
      <c r="Q63" s="76"/>
      <c r="R63" s="58"/>
      <c r="Z63" s="160"/>
      <c r="AA63" s="160"/>
      <c r="AB63" s="160"/>
      <c r="AC63" s="160"/>
    </row>
    <row r="64" spans="2:29" ht="30" customHeight="1" x14ac:dyDescent="0.35">
      <c r="C64" s="1"/>
      <c r="D64" s="119">
        <v>0.94153307969408606</v>
      </c>
      <c r="E64" s="119">
        <v>0.93393915967339702</v>
      </c>
      <c r="F64" s="119">
        <v>0.91231222866658579</v>
      </c>
      <c r="G64" s="119">
        <v>0.87478774834387107</v>
      </c>
      <c r="H64" s="119">
        <v>0.93198946443206521</v>
      </c>
      <c r="I64" s="119">
        <v>0.94664745216941659</v>
      </c>
      <c r="J64" s="119">
        <v>0.94580710332913653</v>
      </c>
      <c r="K64" s="119">
        <v>0.9462879570034195</v>
      </c>
      <c r="L64" s="119">
        <v>0.94853000050953185</v>
      </c>
      <c r="M64" s="119">
        <v>0.952190950570453</v>
      </c>
      <c r="N64" s="119">
        <v>0.94488805340379345</v>
      </c>
      <c r="O64" s="119">
        <v>0.93928299164347029</v>
      </c>
      <c r="P64" s="119">
        <v>0.93794364898777427</v>
      </c>
      <c r="Z64" s="160"/>
      <c r="AA64" s="160"/>
      <c r="AB64" s="160"/>
      <c r="AC64" s="160"/>
    </row>
    <row r="65" spans="2:29" ht="15" customHeight="1" x14ac:dyDescent="0.35">
      <c r="B65" s="162" t="s">
        <v>4</v>
      </c>
      <c r="C65" s="1" t="s">
        <v>252</v>
      </c>
      <c r="D65" s="130">
        <v>0.94888026894233257</v>
      </c>
      <c r="E65" s="130">
        <v>0.94930784695220127</v>
      </c>
      <c r="F65" s="130">
        <v>0.94160427020062576</v>
      </c>
      <c r="G65" s="130">
        <v>0.89356762986475669</v>
      </c>
      <c r="H65" s="130">
        <v>0.94167223037579306</v>
      </c>
      <c r="I65" s="130">
        <v>0.95106855192815454</v>
      </c>
      <c r="J65" s="130">
        <v>0.94967036547827555</v>
      </c>
      <c r="K65" s="130">
        <v>0.94301021970171883</v>
      </c>
      <c r="L65" s="130">
        <v>0.94817681844545032</v>
      </c>
      <c r="M65" s="130">
        <v>0.94163650776734609</v>
      </c>
      <c r="N65" s="130">
        <v>0.94020475284699301</v>
      </c>
      <c r="O65" s="130">
        <v>0.93727685484389334</v>
      </c>
      <c r="P65" s="130">
        <v>0.9394634758528988</v>
      </c>
      <c r="R65" s="3"/>
      <c r="Z65" s="163" t="s">
        <v>11</v>
      </c>
      <c r="AA65" s="163"/>
      <c r="AB65" s="163"/>
      <c r="AC65" s="163"/>
    </row>
    <row r="66" spans="2:29" ht="7.5" customHeight="1" x14ac:dyDescent="0.35">
      <c r="B66" s="162"/>
      <c r="C66" s="1"/>
      <c r="D66" s="30">
        <v>0.85</v>
      </c>
      <c r="E66" s="30">
        <v>0.85</v>
      </c>
      <c r="F66" s="30">
        <v>0.85</v>
      </c>
      <c r="G66" s="30">
        <v>0.85</v>
      </c>
      <c r="H66" s="30">
        <v>0.85</v>
      </c>
      <c r="I66" s="30">
        <v>0.85</v>
      </c>
      <c r="J66" s="30">
        <v>0.85</v>
      </c>
      <c r="K66" s="30">
        <v>0.85</v>
      </c>
      <c r="L66" s="30">
        <v>0.85</v>
      </c>
      <c r="M66" s="30">
        <v>0.85</v>
      </c>
      <c r="N66" s="30">
        <v>0.85</v>
      </c>
      <c r="O66" s="30">
        <v>0.85</v>
      </c>
      <c r="P66" s="30">
        <v>0.85</v>
      </c>
      <c r="Q66" s="30">
        <v>0.85</v>
      </c>
      <c r="Z66" s="163"/>
      <c r="AA66" s="163"/>
      <c r="AB66" s="163"/>
      <c r="AC66" s="163"/>
    </row>
    <row r="67" spans="2:29" x14ac:dyDescent="0.35">
      <c r="B67" s="162"/>
      <c r="C67" s="16" t="s">
        <v>294</v>
      </c>
      <c r="D67" s="61">
        <f>IFERROR(VLOOKUP(D$4,'G&amp;A bed occ.'!$AA$3:$AI$16,2,FALSE),"")</f>
        <v>0.87132848938056506</v>
      </c>
      <c r="E67" s="61">
        <f>IFERROR(VLOOKUP(E$4,'G&amp;A bed occ.'!$AA$3:$AI$16,2,FALSE),"")</f>
        <v>0.88944465840683073</v>
      </c>
      <c r="F67" s="61">
        <f>IFERROR(VLOOKUP(F$4,'G&amp;A bed occ.'!$AA$3:$AI$16,2,FALSE),"")</f>
        <v>0.88805132036518131</v>
      </c>
      <c r="G67" s="61">
        <f>IFERROR(VLOOKUP(G$4,'G&amp;A bed occ.'!$AA$3:$AI$16,2,FALSE),"")</f>
        <v>0.82878958398013036</v>
      </c>
      <c r="H67" s="61">
        <f>IFERROR(VLOOKUP(H$4,'G&amp;A bed occ.'!$AA$3:$AI$16,2,FALSE),"")</f>
        <v>0.86668413786050313</v>
      </c>
      <c r="I67" s="61">
        <f>IFERROR(VLOOKUP(I$4,'G&amp;A bed occ.'!$AA$3:$AI$16,2,FALSE),"")</f>
        <v>0.88654682863035061</v>
      </c>
      <c r="J67" s="61">
        <f>IFERROR(VLOOKUP(J$4,'G&amp;A bed occ.'!$AA$3:$AI$16,2,FALSE),"")</f>
        <v>0.87229437909811591</v>
      </c>
      <c r="K67" s="61">
        <f>IFERROR(VLOOKUP(K$4,'G&amp;A bed occ.'!$AA$3:$AI$16,2,FALSE),"")</f>
        <v>0.87596501557125928</v>
      </c>
      <c r="L67" s="61">
        <f>IFERROR(VLOOKUP(L$4,'G&amp;A bed occ.'!$AA$3:$AI$16,2,FALSE),"")</f>
        <v>0.86871120973613958</v>
      </c>
      <c r="M67" s="61">
        <f>IFERROR(VLOOKUP(M$4,'G&amp;A bed occ.'!$AA$3:$AI$16,2,FALSE),"")</f>
        <v>0.86092496840351351</v>
      </c>
      <c r="N67" s="61">
        <f>IFERROR(VLOOKUP(N$4,'G&amp;A bed occ.'!$AA$3:$AI$16,2,FALSE),"")</f>
        <v>0.84420397626141075</v>
      </c>
      <c r="O67" s="61">
        <f>IFERROR(VLOOKUP(O$4,'G&amp;A bed occ.'!$AA$3:$AI$16,2,FALSE),"")</f>
        <v>0.85172699587833334</v>
      </c>
      <c r="P67" s="61">
        <f>IFERROR(VLOOKUP(P$4,'G&amp;A bed occ.'!$AA$3:$AI$16,2,FALSE),"")</f>
        <v>0.85793532631740033</v>
      </c>
      <c r="Q67" s="81" t="str">
        <f>IFERROR(VLOOKUP(Q$4,'G&amp;A bed occ.'!$AA$3:$AH$17,2,FALSE),"")</f>
        <v/>
      </c>
      <c r="R67" s="2"/>
      <c r="Z67" s="163"/>
      <c r="AA67" s="163"/>
      <c r="AB67" s="163"/>
      <c r="AC67" s="163"/>
    </row>
    <row r="68" spans="2:29" x14ac:dyDescent="0.35">
      <c r="B68" s="162"/>
      <c r="C68" s="1" t="s">
        <v>1</v>
      </c>
      <c r="D68" s="135">
        <f>IFERROR(VLOOKUP(D$4,'G&amp;A bed occ.'!$AA$3:$AI$16,3,FALSE),"")</f>
        <v>0.88572048264289216</v>
      </c>
      <c r="E68" s="135">
        <f>IFERROR(VLOOKUP(E$4,'G&amp;A bed occ.'!$AA$3:$AI$16,3,FALSE),"")</f>
        <v>0.90204275319745109</v>
      </c>
      <c r="F68" s="135">
        <f>IFERROR(VLOOKUP(F$4,'G&amp;A bed occ.'!$AA$3:$AI$16,3,FALSE),"")</f>
        <v>0.90572871556640389</v>
      </c>
      <c r="G68" s="135">
        <f>IFERROR(VLOOKUP(G$4,'G&amp;A bed occ.'!$AA$3:$AI$16,3,FALSE),"")</f>
        <v>0.8697753410917215</v>
      </c>
      <c r="H68" s="135">
        <f>IFERROR(VLOOKUP(H$4,'G&amp;A bed occ.'!$AA$3:$AI$16,3,FALSE),"")</f>
        <v>0.90399774457287851</v>
      </c>
      <c r="I68" s="135">
        <f>IFERROR(VLOOKUP(I$4,'G&amp;A bed occ.'!$AA$3:$AI$16,3,FALSE),"")</f>
        <v>0.90802635057724512</v>
      </c>
      <c r="J68" s="135">
        <f>IFERROR(VLOOKUP(J$4,'G&amp;A bed occ.'!$AA$3:$AI$16,3,FALSE),"")</f>
        <v>0.8990424530912714</v>
      </c>
      <c r="K68" s="135">
        <f>IFERROR(VLOOKUP(K$4,'G&amp;A bed occ.'!$AA$3:$AI$16,3,FALSE),"")</f>
        <v>0.89992155983863742</v>
      </c>
      <c r="L68" s="135">
        <f>IFERROR(VLOOKUP(L$4,'G&amp;A bed occ.'!$AA$3:$AI$16,3,FALSE),"")</f>
        <v>0.88393748298702479</v>
      </c>
      <c r="M68" s="135">
        <f>IFERROR(VLOOKUP(M$4,'G&amp;A bed occ.'!$AA$3:$AI$16,3,FALSE),"")</f>
        <v>0.87500286611790068</v>
      </c>
      <c r="N68" s="135">
        <f>IFERROR(VLOOKUP(N$4,'G&amp;A bed occ.'!$AA$3:$AI$16,3,FALSE),"")</f>
        <v>0.8498208808447868</v>
      </c>
      <c r="O68" s="135">
        <f>IFERROR(VLOOKUP(O$4,'G&amp;A bed occ.'!$AA$3:$AI$16,3,FALSE),"")</f>
        <v>0.84482051402252512</v>
      </c>
      <c r="P68" s="135">
        <f>IFERROR(VLOOKUP(P$4,'G&amp;A bed occ.'!$AA$3:$AI$16,3,FALSE),"")</f>
        <v>0.8443789542621245</v>
      </c>
      <c r="Q68" s="82" t="str">
        <f>IFERROR(VLOOKUP(Q$4,'G&amp;A bed occ.'!$AA$3:$AH$17,3,FALSE),"")</f>
        <v/>
      </c>
      <c r="Z68" s="163"/>
      <c r="AA68" s="163"/>
      <c r="AB68" s="163"/>
      <c r="AC68" s="163"/>
    </row>
    <row r="69" spans="2:29" ht="15" customHeight="1" x14ac:dyDescent="0.35">
      <c r="B69" s="162"/>
      <c r="C69" s="1" t="s">
        <v>226</v>
      </c>
      <c r="D69" s="135">
        <f>IFERROR(VLOOKUP(D$4,'G&amp;A bed occ.'!$AA$3:$AI$16,4,FALSE),"")</f>
        <v>0.85929748793156635</v>
      </c>
      <c r="E69" s="135">
        <f>IFERROR(VLOOKUP(E$4,'G&amp;A bed occ.'!$AA$3:$AI$16,4,FALSE),"")</f>
        <v>0.8754480957490165</v>
      </c>
      <c r="F69" s="135">
        <f>IFERROR(VLOOKUP(F$4,'G&amp;A bed occ.'!$AA$3:$AI$16,4,FALSE),"")</f>
        <v>0.87695747581208228</v>
      </c>
      <c r="G69" s="135">
        <f>IFERROR(VLOOKUP(G$4,'G&amp;A bed occ.'!$AA$3:$AI$16,4,FALSE),"")</f>
        <v>0.81531396125584499</v>
      </c>
      <c r="H69" s="135">
        <f>IFERROR(VLOOKUP(H$4,'G&amp;A bed occ.'!$AA$3:$AI$16,4,FALSE),"")</f>
        <v>0.85625103493955956</v>
      </c>
      <c r="I69" s="135">
        <f>IFERROR(VLOOKUP(I$4,'G&amp;A bed occ.'!$AA$3:$AI$16,4,FALSE),"")</f>
        <v>0.87690916644265782</v>
      </c>
      <c r="J69" s="135">
        <f>IFERROR(VLOOKUP(J$4,'G&amp;A bed occ.'!$AA$3:$AI$16,4,FALSE),"")</f>
        <v>0.86334497653799713</v>
      </c>
      <c r="K69" s="135">
        <f>IFERROR(VLOOKUP(K$4,'G&amp;A bed occ.'!$AA$3:$AI$16,4,FALSE),"")</f>
        <v>0.8753079493621484</v>
      </c>
      <c r="L69" s="135">
        <f>IFERROR(VLOOKUP(L$4,'G&amp;A bed occ.'!$AA$3:$AI$16,4,FALSE),"")</f>
        <v>0.86751608813958936</v>
      </c>
      <c r="M69" s="135">
        <f>IFERROR(VLOOKUP(M$4,'G&amp;A bed occ.'!$AA$3:$AI$16,4,FALSE),"")</f>
        <v>0.86307057313248514</v>
      </c>
      <c r="N69" s="135">
        <f>IFERROR(VLOOKUP(N$4,'G&amp;A bed occ.'!$AA$3:$AI$16,4,FALSE),"")</f>
        <v>0.84517729103231509</v>
      </c>
      <c r="O69" s="135">
        <f>IFERROR(VLOOKUP(O$4,'G&amp;A bed occ.'!$AA$3:$AI$16,4,FALSE),"")</f>
        <v>0.85461153646455734</v>
      </c>
      <c r="P69" s="135">
        <f>IFERROR(VLOOKUP(P$4,'G&amp;A bed occ.'!$AA$3:$AI$16,4,FALSE),"")</f>
        <v>0.86232512071313605</v>
      </c>
      <c r="Q69" s="82" t="str">
        <f>IFERROR(VLOOKUP(Q$4,'G&amp;A bed occ.'!$AA$3:$AH$17,4,FALSE),"")</f>
        <v/>
      </c>
      <c r="Z69" s="160" t="s">
        <v>217</v>
      </c>
      <c r="AA69" s="160"/>
      <c r="AB69" s="160"/>
      <c r="AC69" s="160"/>
    </row>
    <row r="70" spans="2:29" ht="15" customHeight="1" x14ac:dyDescent="0.35">
      <c r="B70" s="162"/>
      <c r="C70" s="1" t="s">
        <v>253</v>
      </c>
      <c r="D70" s="135">
        <f>IFERROR(VLOOKUP(D$4,'G&amp;A bed occ.'!$AA$3:$AI$16,8,FALSE),"")</f>
        <v>0.88485565759314466</v>
      </c>
      <c r="E70" s="135">
        <f>IFERROR(VLOOKUP(E$4,'G&amp;A bed occ.'!$AA$3:$AI$16,8,FALSE),"")</f>
        <v>0.90452104779139098</v>
      </c>
      <c r="F70" s="135">
        <f>IFERROR(VLOOKUP(F$4,'G&amp;A bed occ.'!$AA$3:$AI$16,8,FALSE),"")</f>
        <v>0.89579067454513539</v>
      </c>
      <c r="G70" s="135">
        <f>IFERROR(VLOOKUP(G$4,'G&amp;A bed occ.'!$AA$3:$AI$16,8,FALSE),"")</f>
        <v>0.84174390662547205</v>
      </c>
      <c r="H70" s="135">
        <f>IFERROR(VLOOKUP(H$4,'G&amp;A bed occ.'!$AA$3:$AI$16,8,FALSE),"")</f>
        <v>0.87935270319970582</v>
      </c>
      <c r="I70" s="135">
        <f>IFERROR(VLOOKUP(I$4,'G&amp;A bed occ.'!$AA$3:$AI$16,8,FALSE),"")</f>
        <v>0.88915295015110174</v>
      </c>
      <c r="J70" s="135">
        <f>IFERROR(VLOOKUP(J$4,'G&amp;A bed occ.'!$AA$3:$AI$16,8,FALSE),"")</f>
        <v>0.86303757088846877</v>
      </c>
      <c r="K70" s="135">
        <f>IFERROR(VLOOKUP(K$4,'G&amp;A bed occ.'!$AA$3:$AI$16,8,FALSE),"")</f>
        <v>0.87461636350026195</v>
      </c>
      <c r="L70" s="135">
        <f>IFERROR(VLOOKUP(L$4,'G&amp;A bed occ.'!$AA$3:$AI$16,8,FALSE),"")</f>
        <v>0.86929497689670587</v>
      </c>
      <c r="M70" s="135">
        <f>IFERROR(VLOOKUP(M$4,'G&amp;A bed occ.'!$AA$3:$AI$16,8,FALSE),"")</f>
        <v>0.86997917286521864</v>
      </c>
      <c r="N70" s="135">
        <f>IFERROR(VLOOKUP(N$4,'G&amp;A bed occ.'!$AA$3:$AI$16,8,FALSE),"")</f>
        <v>0.84107404199396674</v>
      </c>
      <c r="O70" s="135">
        <f>IFERROR(VLOOKUP(O$4,'G&amp;A bed occ.'!$AA$3:$AI$16,8,FALSE),"")</f>
        <v>0.84299412125473072</v>
      </c>
      <c r="P70" s="135">
        <f>IFERROR(VLOOKUP(P$4,'G&amp;A bed occ.'!$AA$3:$AI$16,8,FALSE),"")</f>
        <v>0.86716424607744891</v>
      </c>
      <c r="Q70" s="82"/>
      <c r="Z70" s="160"/>
      <c r="AA70" s="160"/>
      <c r="AB70" s="160"/>
      <c r="AC70" s="160"/>
    </row>
    <row r="71" spans="2:29" ht="15" customHeight="1" x14ac:dyDescent="0.35">
      <c r="B71" s="162"/>
      <c r="C71" s="1" t="s">
        <v>254</v>
      </c>
      <c r="D71" s="135">
        <f>IFERROR(VLOOKUP(D$4,'G&amp;A bed occ.'!$AA$3:$AI$16,5,FALSE),"")</f>
        <v>0.85543607018582957</v>
      </c>
      <c r="E71" s="135">
        <f>IFERROR(VLOOKUP(E$4,'G&amp;A bed occ.'!$AA$3:$AI$16,5,FALSE),"")</f>
        <v>0.87617739765165614</v>
      </c>
      <c r="F71" s="135">
        <f>IFERROR(VLOOKUP(F$4,'G&amp;A bed occ.'!$AA$3:$AI$16,5,FALSE),"")</f>
        <v>0.87366300938997365</v>
      </c>
      <c r="G71" s="135">
        <f>IFERROR(VLOOKUP(G$4,'G&amp;A bed occ.'!$AA$3:$AI$16,5,FALSE),"")</f>
        <v>0.79578337385989917</v>
      </c>
      <c r="H71" s="135">
        <f>IFERROR(VLOOKUP(H$4,'G&amp;A bed occ.'!$AA$3:$AI$16,5,FALSE),"")</f>
        <v>0.83638522476391908</v>
      </c>
      <c r="I71" s="135">
        <f>IFERROR(VLOOKUP(I$4,'G&amp;A bed occ.'!$AA$3:$AI$16,5,FALSE),"")</f>
        <v>0.87258367190773767</v>
      </c>
      <c r="J71" s="135">
        <f>IFERROR(VLOOKUP(J$4,'G&amp;A bed occ.'!$AA$3:$AI$16,5,FALSE),"")</f>
        <v>0.85884825709944224</v>
      </c>
      <c r="K71" s="135">
        <f>IFERROR(VLOOKUP(K$4,'G&amp;A bed occ.'!$AA$3:$AI$16,5,FALSE),"")</f>
        <v>0.85977227352702545</v>
      </c>
      <c r="L71" s="135">
        <f>IFERROR(VLOOKUP(L$4,'G&amp;A bed occ.'!$AA$3:$AI$16,5,FALSE),"")</f>
        <v>0.85497525221107296</v>
      </c>
      <c r="M71" s="135">
        <f>IFERROR(VLOOKUP(M$4,'G&amp;A bed occ.'!$AA$3:$AI$16,5,FALSE),"")</f>
        <v>0.84776610853302214</v>
      </c>
      <c r="N71" s="135">
        <f>IFERROR(VLOOKUP(N$4,'G&amp;A bed occ.'!$AA$3:$AI$16,5,FALSE),"")</f>
        <v>0.83878613296383742</v>
      </c>
      <c r="O71" s="135">
        <f>IFERROR(VLOOKUP(O$4,'G&amp;A bed occ.'!$AA$3:$AI$16,5,FALSE),"")</f>
        <v>0.84666995740324325</v>
      </c>
      <c r="P71" s="135">
        <f>IFERROR(VLOOKUP(P$4,'G&amp;A bed occ.'!$AA$3:$AI$16,5,FALSE),"")</f>
        <v>0.85445448911894428</v>
      </c>
      <c r="Q71" s="82"/>
      <c r="Z71" s="160"/>
      <c r="AA71" s="160"/>
      <c r="AB71" s="160"/>
      <c r="AC71" s="160"/>
    </row>
    <row r="72" spans="2:29" x14ac:dyDescent="0.35">
      <c r="B72" s="162"/>
      <c r="C72" s="1" t="s">
        <v>256</v>
      </c>
      <c r="D72" s="135">
        <f>IFERROR(VLOOKUP(D$4,'G&amp;A bed occ.'!$AA$3:$AI$16,9,FALSE),"")</f>
        <v>0.87503951341275987</v>
      </c>
      <c r="E72" s="135">
        <f>IFERROR(VLOOKUP(E$4,'G&amp;A bed occ.'!$AA$3:$AI$16,9,FALSE),"")</f>
        <v>0.88536325714782305</v>
      </c>
      <c r="F72" s="135">
        <f>IFERROR(VLOOKUP(F$4,'G&amp;A bed occ.'!$AA$3:$AI$16,9,FALSE),"")</f>
        <v>0.88252167677162785</v>
      </c>
      <c r="G72" s="135">
        <f>IFERROR(VLOOKUP(G$4,'G&amp;A bed occ.'!$AA$3:$AI$16,9,FALSE),"")</f>
        <v>0.82252022608888398</v>
      </c>
      <c r="H72" s="135">
        <f>IFERROR(VLOOKUP(H$4,'G&amp;A bed occ.'!$AA$3:$AI$16,9,FALSE),"")</f>
        <v>0.85879371736898447</v>
      </c>
      <c r="I72" s="135">
        <f>IFERROR(VLOOKUP(I$4,'G&amp;A bed occ.'!$AA$3:$AI$16,9,FALSE),"")</f>
        <v>0.88224903059026283</v>
      </c>
      <c r="J72" s="135">
        <f>IFERROR(VLOOKUP(J$4,'G&amp;A bed occ.'!$AA$3:$AI$16,9,FALSE),"")</f>
        <v>0.86729491079852017</v>
      </c>
      <c r="K72" s="135">
        <f>IFERROR(VLOOKUP(K$4,'G&amp;A bed occ.'!$AA$3:$AI$16,9,FALSE),"")</f>
        <v>0.86652312044161572</v>
      </c>
      <c r="L72" s="135">
        <f>IFERROR(VLOOKUP(L$4,'G&amp;A bed occ.'!$AA$3:$AI$16,9,FALSE),"")</f>
        <v>0.86395782163123569</v>
      </c>
      <c r="M72" s="135">
        <f>IFERROR(VLOOKUP(M$4,'G&amp;A bed occ.'!$AA$3:$AI$16,9,FALSE),"")</f>
        <v>0.84748201438848925</v>
      </c>
      <c r="N72" s="135">
        <f>IFERROR(VLOOKUP(N$4,'G&amp;A bed occ.'!$AA$3:$AI$16,9,FALSE),"")</f>
        <v>0.83678300582394105</v>
      </c>
      <c r="O72" s="135">
        <f>IFERROR(VLOOKUP(O$4,'G&amp;A bed occ.'!$AA$3:$AI$16,9,FALSE),"")</f>
        <v>0.846921779464474</v>
      </c>
      <c r="P72" s="135">
        <f>IFERROR(VLOOKUP(P$4,'G&amp;A bed occ.'!$AA$3:$AI$16,9,FALSE),"")</f>
        <v>0.84427551255471089</v>
      </c>
      <c r="Q72" s="82" t="str">
        <f>IFERROR(VLOOKUP(Q$4,'G&amp;A bed occ.'!$AA$3:$AH$17,5,FALSE),"")</f>
        <v/>
      </c>
      <c r="Z72" s="160"/>
      <c r="AA72" s="160"/>
      <c r="AB72" s="160"/>
      <c r="AC72" s="160"/>
    </row>
    <row r="73" spans="2:29" x14ac:dyDescent="0.35">
      <c r="B73" s="162"/>
      <c r="C73" s="1" t="s">
        <v>223</v>
      </c>
      <c r="D73" s="135">
        <f>IFERROR(VLOOKUP(D$4,'G&amp;A bed occ.'!$AA$3:$AI$16,6,FALSE),"")</f>
        <v>0.88308492524432625</v>
      </c>
      <c r="E73" s="135">
        <f>IFERROR(VLOOKUP(E$4,'G&amp;A bed occ.'!$AA$3:$AI$16,6,FALSE),"")</f>
        <v>0.90237004487658934</v>
      </c>
      <c r="F73" s="135">
        <f>IFERROR(VLOOKUP(F$4,'G&amp;A bed occ.'!$AA$3:$AI$16,6,FALSE),"")</f>
        <v>0.90008146165483538</v>
      </c>
      <c r="G73" s="135">
        <f>IFERROR(VLOOKUP(G$4,'G&amp;A bed occ.'!$AA$3:$AI$16,6,FALSE),"")</f>
        <v>0.84637790986809391</v>
      </c>
      <c r="H73" s="135">
        <f>IFERROR(VLOOKUP(H$4,'G&amp;A bed occ.'!$AA$3:$AI$16,6,FALSE),"")</f>
        <v>0.87824077836733272</v>
      </c>
      <c r="I73" s="135">
        <f>IFERROR(VLOOKUP(I$4,'G&amp;A bed occ.'!$AA$3:$AI$16,6,FALSE),"")</f>
        <v>0.89332969270851115</v>
      </c>
      <c r="J73" s="135">
        <f>IFERROR(VLOOKUP(J$4,'G&amp;A bed occ.'!$AA$3:$AI$16,6,FALSE),"")</f>
        <v>0.88010028850116773</v>
      </c>
      <c r="K73" s="135">
        <f>IFERROR(VLOOKUP(K$4,'G&amp;A bed occ.'!$AA$3:$AI$16,6,FALSE),"")</f>
        <v>0.88829621058721431</v>
      </c>
      <c r="L73" s="135">
        <f>IFERROR(VLOOKUP(L$4,'G&amp;A bed occ.'!$AA$3:$AI$16,6,FALSE),"")</f>
        <v>0.88106456131414745</v>
      </c>
      <c r="M73" s="135">
        <f>IFERROR(VLOOKUP(M$4,'G&amp;A bed occ.'!$AA$3:$AI$16,6,FALSE),"")</f>
        <v>0.866301089759974</v>
      </c>
      <c r="N73" s="135">
        <f>IFERROR(VLOOKUP(N$4,'G&amp;A bed occ.'!$AA$3:$AI$16,6,FALSE),"")</f>
        <v>0.84539756088955798</v>
      </c>
      <c r="O73" s="135">
        <f>IFERROR(VLOOKUP(O$4,'G&amp;A bed occ.'!$AA$3:$AI$16,6,FALSE),"")</f>
        <v>0.85982426223295916</v>
      </c>
      <c r="P73" s="135">
        <f>IFERROR(VLOOKUP(P$4,'G&amp;A bed occ.'!$AA$3:$AI$16,6,FALSE),"")</f>
        <v>0.86557551406286926</v>
      </c>
      <c r="Q73" s="82" t="str">
        <f>IFERROR(VLOOKUP(Q$4,'G&amp;A bed occ.'!$AA$3:$AH$17,6,FALSE),"")</f>
        <v/>
      </c>
      <c r="Z73" s="160"/>
      <c r="AA73" s="160"/>
      <c r="AB73" s="160"/>
      <c r="AC73" s="160"/>
    </row>
    <row r="74" spans="2:29" x14ac:dyDescent="0.35">
      <c r="B74" s="162"/>
      <c r="C74" s="11" t="s">
        <v>224</v>
      </c>
      <c r="D74" s="135">
        <f>IFERROR(VLOOKUP(D$4,'G&amp;A bed occ.'!$AA$3:$AI$16,7,FALSE),"")</f>
        <v>0.86572393146060256</v>
      </c>
      <c r="E74" s="135">
        <f>IFERROR(VLOOKUP(E$4,'G&amp;A bed occ.'!$AA$3:$AI$16,7,FALSE),"")</f>
        <v>0.89355031823051234</v>
      </c>
      <c r="F74" s="135">
        <f>IFERROR(VLOOKUP(F$4,'G&amp;A bed occ.'!$AA$3:$AI$16,7,FALSE),"")</f>
        <v>0.89236247892472775</v>
      </c>
      <c r="G74" s="135">
        <f>IFERROR(VLOOKUP(G$4,'G&amp;A bed occ.'!$AA$3:$AI$16,7,FALSE),"")</f>
        <v>0.82512637477995443</v>
      </c>
      <c r="H74" s="135">
        <f>IFERROR(VLOOKUP(H$4,'G&amp;A bed occ.'!$AA$3:$AI$16,7,FALSE),"")</f>
        <v>0.86801215070693571</v>
      </c>
      <c r="I74" s="135">
        <f>IFERROR(VLOOKUP(I$4,'G&amp;A bed occ.'!$AA$3:$AI$16,7,FALSE),"")</f>
        <v>0.89266287357759155</v>
      </c>
      <c r="J74" s="135">
        <f>IFERROR(VLOOKUP(J$4,'G&amp;A bed occ.'!$AA$3:$AI$16,7,FALSE),"")</f>
        <v>0.88150279877296733</v>
      </c>
      <c r="K74" s="135">
        <f>IFERROR(VLOOKUP(K$4,'G&amp;A bed occ.'!$AA$3:$AI$16,7,FALSE),"")</f>
        <v>0.8702790171557846</v>
      </c>
      <c r="L74" s="135">
        <f>IFERROR(VLOOKUP(L$4,'G&amp;A bed occ.'!$AA$3:$AI$16,7,FALSE),"")</f>
        <v>0.8635542216006411</v>
      </c>
      <c r="M74" s="135">
        <f>IFERROR(VLOOKUP(M$4,'G&amp;A bed occ.'!$AA$3:$AI$16,7,FALSE),"")</f>
        <v>0.86375906337298725</v>
      </c>
      <c r="N74" s="135">
        <f>IFERROR(VLOOKUP(N$4,'G&amp;A bed occ.'!$AA$3:$AI$16,7,FALSE),"")</f>
        <v>0.85690822918458964</v>
      </c>
      <c r="O74" s="135">
        <f>IFERROR(VLOOKUP(O$4,'G&amp;A bed occ.'!$AA$3:$AI$16,7,FALSE),"")</f>
        <v>0.86967461632232046</v>
      </c>
      <c r="P74" s="135">
        <f>IFERROR(VLOOKUP(P$4,'G&amp;A bed occ.'!$AA$3:$AI$16,7,FALSE),"")</f>
        <v>0.87435700995950527</v>
      </c>
      <c r="Q74" s="82" t="str">
        <f>IFERROR(VLOOKUP(Q$4,'G&amp;A bed occ.'!$AA$3:$AH$17,7,FALSE),"")</f>
        <v/>
      </c>
      <c r="Z74" s="160"/>
      <c r="AA74" s="160"/>
      <c r="AB74" s="160"/>
      <c r="AC74" s="160"/>
    </row>
    <row r="75" spans="2:29" ht="7.5" customHeight="1" x14ac:dyDescent="0.35">
      <c r="B75" s="162"/>
      <c r="C75" s="8"/>
      <c r="Q75" s="83"/>
      <c r="Z75" s="160"/>
      <c r="AA75" s="160"/>
      <c r="AB75" s="160"/>
      <c r="AC75" s="160"/>
    </row>
    <row r="76" spans="2:29" ht="15" customHeight="1" x14ac:dyDescent="0.35">
      <c r="B76" s="162"/>
      <c r="C76" s="9" t="s">
        <v>6</v>
      </c>
      <c r="D76" s="62">
        <f>IF(ISBLANK(HLOOKUP(D4, 'G&amp;A bed occ.'!AM149:AZ150,2,FALSE)),"",HLOOKUP(D4,'G&amp;A bed occ.'!AM149:AZ150,2,FALSE))</f>
        <v>107</v>
      </c>
      <c r="E76" s="62">
        <f>IF(ISBLANK(HLOOKUP(E4, 'G&amp;A bed occ.'!AN149:BA150,2,FALSE)),"",HLOOKUP(E4,'G&amp;A bed occ.'!AN149:BA150,2,FALSE))</f>
        <v>113</v>
      </c>
      <c r="F76" s="62">
        <f>IF(ISBLANK(HLOOKUP(F4, 'G&amp;A bed occ.'!AO149:BB150,2,FALSE))," ",HLOOKUP(F4,'G&amp;A bed occ.'!AO149:BB150,2,FALSE))</f>
        <v>117</v>
      </c>
      <c r="G76" s="62">
        <f>IF(ISBLANK(HLOOKUP(G4, 'G&amp;A bed occ.'!AP149:BC150,2,FALSE)),"",HLOOKUP(G4,'G&amp;A bed occ.'!AP149:BC150,2,FALSE))</f>
        <v>103</v>
      </c>
      <c r="H76" s="62">
        <f>IF(ISBLANK(HLOOKUP(H4, 'G&amp;A bed occ.'!AQ149:BD150,2,FALSE)),"",HLOOKUP(H4,'G&amp;A bed occ.'!AQ149:BD150,2,FALSE))</f>
        <v>107</v>
      </c>
      <c r="I76" s="62">
        <f>IF(ISBLANK(HLOOKUP(I4,'G&amp;A bed occ.'!AR149:BE150,2,FALSE)),"",HLOOKUP(I4,'G&amp;A bed occ.'!AR149:BE150,2,FALSE))</f>
        <v>113</v>
      </c>
      <c r="J76" s="62">
        <f>IF(ISBLANK(HLOOKUP(J4, 'G&amp;A bed occ.'!AS149:BF150,2,FALSE)),"",HLOOKUP(J4,'G&amp;A bed occ.'!AS149:BF150,2,FALSE))</f>
        <v>107</v>
      </c>
      <c r="K76" s="62">
        <f>IF(ISBLANK(HLOOKUP(K4, 'G&amp;A bed occ.'!AT149:BG150,2,FALSE)),"",HLOOKUP(K4,'G&amp;A bed occ.'!AT149:BG150,2,FALSE))</f>
        <v>105</v>
      </c>
      <c r="L76" s="62">
        <f>IF(ISBLANK(HLOOKUP(L4, 'G&amp;A bed occ.'!AU149:BH150,2,FALSE)),"",HLOOKUP(L4,'G&amp;A bed occ.'!AU149:BH150,2,FALSE))</f>
        <v>53</v>
      </c>
      <c r="M76" s="62">
        <f>IF(ISBLANK(HLOOKUP(M4, 'G&amp;A bed occ.'!AV149:BI150,2,FALSE)),"",HLOOKUP(M4,'G&amp;A bed occ.'!AV149:BI150,2,FALSE))</f>
        <v>101</v>
      </c>
      <c r="N76" s="62">
        <f>IF(ISBLANK(HLOOKUP(N4, 'G&amp;A bed occ.'!AW149:BJ150,2,FALSE)),"",HLOOKUP(N4,'G&amp;A bed occ.'!AW149:BJ150,2,FALSE))</f>
        <v>91</v>
      </c>
      <c r="O76" s="62">
        <f>IF(ISBLANK(HLOOKUP(O4, 'G&amp;A bed occ.'!AX149:BK150,2,FALSE)),"",HLOOKUP(O4,'G&amp;A bed occ.'!AX149:BK150,2,FALSE))</f>
        <v>93</v>
      </c>
      <c r="P76" s="62">
        <f>IF(ISBLANK(HLOOKUP(P4, 'G&amp;A bed occ.'!AY149:BL150,2,FALSE)),"",HLOOKUP(P4,'G&amp;A bed occ.'!AY149:BL150,2,FALSE))</f>
        <v>99</v>
      </c>
      <c r="Q76" s="84"/>
      <c r="Z76" s="160"/>
      <c r="AA76" s="160"/>
      <c r="AB76" s="160"/>
      <c r="AC76" s="160"/>
    </row>
    <row r="77" spans="2:29" ht="7.5" customHeight="1" x14ac:dyDescent="0.35">
      <c r="B77" s="162"/>
      <c r="C77" s="9"/>
      <c r="Q77" s="83"/>
      <c r="Z77" s="160"/>
      <c r="AA77" s="160"/>
      <c r="AB77" s="160"/>
      <c r="AC77" s="160"/>
    </row>
    <row r="78" spans="2:29" x14ac:dyDescent="0.35">
      <c r="B78" s="162"/>
      <c r="C78" s="9" t="s">
        <v>7</v>
      </c>
      <c r="D78" s="62">
        <f>IF(ISBLANK(HLOOKUP(D4,'G&amp;A bed occ.'!AM290:AZ291,2,FALSE)),"",HLOOKUP(D4,'G&amp;A bed occ.'!AM290:AZ291,2,FALSE))</f>
        <v>26</v>
      </c>
      <c r="E78" s="62">
        <f>IF(ISBLANK(HLOOKUP(E4,'G&amp;A bed occ.'!AN290:BA291,2,FALSE)),"",HLOOKUP(E4,'G&amp;A bed occ.'!AN290:BA291,2,FALSE))</f>
        <v>38</v>
      </c>
      <c r="F78" s="62">
        <f>IF(ISBLANK(HLOOKUP(F4,'G&amp;A bed occ.'!AO290:BB291,2,FALSE)),"",HLOOKUP(F4,'G&amp;A bed occ.'!AO290:BB291,2,FALSE))</f>
        <v>37</v>
      </c>
      <c r="G78" s="62">
        <f>IF(ISBLANK(HLOOKUP(G4,'G&amp;A bed occ.'!AP290:BC291,2,FALSE)),"",HLOOKUP(G4,'G&amp;A bed occ.'!AP290:BC291,2,FALSE))</f>
        <v>20</v>
      </c>
      <c r="H78" s="62">
        <f>IF(ISBLANK(HLOOKUP(H4,'G&amp;A bed occ.'!AQ290:BD291,2,FALSE)),"",HLOOKUP(H4,'G&amp;A bed occ.'!AQ290:BD291,2,FALSE))</f>
        <v>31</v>
      </c>
      <c r="I78" s="62">
        <f>IF(ISBLANK(HLOOKUP(I4,'G&amp;A bed occ.'!AR290:BE291,2,FALSE)),"",HLOOKUP(I4,'G&amp;A bed occ.'!AR290:BE291,2,FALSE))</f>
        <v>39</v>
      </c>
      <c r="J78" s="62">
        <f>IF(ISBLANK(HLOOKUP(J4,'G&amp;A bed occ.'!AS290:BF291,2,FALSE)),"",HLOOKUP(J4,'G&amp;A bed occ.'!AS290:BF291,2,FALSE))</f>
        <v>31</v>
      </c>
      <c r="K78" s="62">
        <f>IF(ISBLANK(HLOOKUP(K4,'G&amp;A bed occ.'!AT290:BG291,2,FALSE)),"",HLOOKUP(K4,'G&amp;A bed occ.'!AT290:BG291,2,FALSE))</f>
        <v>33</v>
      </c>
      <c r="L78" s="62">
        <f>IF(ISBLANK(HLOOKUP(L4,'G&amp;A bed occ.'!AU290:BH291,2,FALSE)),"",HLOOKUP(L4,'G&amp;A bed occ.'!AU290:BH291,2,FALSE))</f>
        <v>25</v>
      </c>
      <c r="M78" s="62">
        <f>IF(ISBLANK(HLOOKUP(M4,'G&amp;A bed occ.'!AV290:BI291,2,FALSE)),"",HLOOKUP(M4,'G&amp;A bed occ.'!AV290:BI291,2,FALSE))</f>
        <v>20</v>
      </c>
      <c r="N78" s="62">
        <f>IF(ISBLANK(HLOOKUP(N4,'G&amp;A bed occ.'!AW290:BJ291,2,FALSE)),"",HLOOKUP(N4,'G&amp;A bed occ.'!AW290:BJ291,2,FALSE))</f>
        <v>10</v>
      </c>
      <c r="O78" s="62">
        <f>IF(ISBLANK(HLOOKUP(O4,'G&amp;A bed occ.'!AX290:BK291,2,FALSE)),"",HLOOKUP(O4,'G&amp;A bed occ.'!AX290:BK291,2,FALSE))</f>
        <v>12</v>
      </c>
      <c r="P78" s="62">
        <f>IF(ISBLANK(HLOOKUP(P4,'G&amp;A bed occ.'!AY290:BL291,2,FALSE)),"",HLOOKUP(P4,'G&amp;A bed occ.'!AY290:BL291,2,FALSE))</f>
        <v>15</v>
      </c>
      <c r="Q78" s="84"/>
      <c r="Z78" s="160"/>
      <c r="AA78" s="160"/>
      <c r="AB78" s="160"/>
      <c r="AC78" s="160"/>
    </row>
    <row r="79" spans="2:29" ht="7.5" customHeight="1" x14ac:dyDescent="0.35">
      <c r="B79" s="162"/>
      <c r="C79" s="9"/>
      <c r="Q79" s="83"/>
      <c r="Z79" s="160"/>
      <c r="AA79" s="160"/>
      <c r="AB79" s="160"/>
      <c r="AC79" s="160"/>
    </row>
    <row r="80" spans="2:29" ht="15" customHeight="1" x14ac:dyDescent="0.35">
      <c r="B80" s="162"/>
      <c r="C80" s="9" t="s">
        <v>5</v>
      </c>
      <c r="D80" s="62">
        <f>IF(ISBLANK(HLOOKUP(D4,'G&amp;A bed occ.'!AM431:AZ432,2,FALSE)),"",HLOOKUP(D4,'G&amp;A bed occ.'!AM431:AZ432,2,FALSE))</f>
        <v>1</v>
      </c>
      <c r="E80" s="62">
        <f>IF(ISBLANK(HLOOKUP(E4,'G&amp;A bed occ.'!AN431:BA432,2,FALSE)),"",HLOOKUP(E4,'G&amp;A bed occ.'!AN431:BA432,2,FALSE))</f>
        <v>3</v>
      </c>
      <c r="F80" s="62">
        <f>IF(ISBLANK(HLOOKUP(F4,'G&amp;A bed occ.'!AO431:BB432,2,FALSE)),"",HLOOKUP(F4,'G&amp;A bed occ.'!AO431:BB432,2,FALSE))</f>
        <v>2</v>
      </c>
      <c r="G80" s="62">
        <f>IF(ISBLANK(HLOOKUP(G4,'G&amp;A bed occ.'!AP431:BC432,2,FALSE)),"",HLOOKUP(G4,'G&amp;A bed occ.'!AP431:BC432,2,FALSE))</f>
        <v>2</v>
      </c>
      <c r="H80" s="62">
        <f>IF(ISBLANK(HLOOKUP(H4,'G&amp;A bed occ.'!AQ431:BD432,2,FALSE)),"",HLOOKUP(H4,'G&amp;A bed occ.'!AQ431:BD432,2,FALSE))</f>
        <v>2</v>
      </c>
      <c r="I80" s="62">
        <f>IF(ISBLANK(HLOOKUP(I4,'G&amp;A bed occ.'!AR431:BE432,2,FALSE)),"",HLOOKUP(I4,'G&amp;A bed occ.'!AR431:BE432,2,FALSE))</f>
        <v>1</v>
      </c>
      <c r="J80" s="62">
        <f>IF(ISBLANK(HLOOKUP(J4,'G&amp;A bed occ.'!AS431:BF432,2,FALSE)),"",HLOOKUP(J4,'G&amp;A bed occ.'!AS431:BF432,2,FALSE))</f>
        <v>2</v>
      </c>
      <c r="K80" s="62" t="str">
        <f>IF(ISBLANK(HLOOKUP(K4,'G&amp;A bed occ.'!AT431:BG432,2,FALSE)),"",HLOOKUP(K4,'G&amp;A bed occ.'!AT431:BG432,2,FALSE))</f>
        <v>0</v>
      </c>
      <c r="L80" s="62" t="str">
        <f>IF(ISBLANK(HLOOKUP(L4,'G&amp;A bed occ.'!AU431:BH432,2,FALSE)),"",HLOOKUP(L4,'G&amp;A bed occ.'!AU431:BH432,2,FALSE))</f>
        <v>0</v>
      </c>
      <c r="M80" s="62">
        <f>IF(ISBLANK(HLOOKUP(M4,'G&amp;A bed occ.'!AV431:BI432,2,FALSE)),"",HLOOKUP(M4,'G&amp;A bed occ.'!AV431:BI432,2,FALSE))</f>
        <v>1</v>
      </c>
      <c r="N80" s="62" t="str">
        <f>IF(ISBLANK(HLOOKUP(N4,'G&amp;A bed occ.'!AW431:BJ432,2,FALSE)),"",HLOOKUP(N4,'G&amp;A bed occ.'!AW431:BJ432,2,FALSE))</f>
        <v>0</v>
      </c>
      <c r="O80" s="62" t="str">
        <f>IF(ISBLANK(HLOOKUP(O4,'G&amp;A bed occ.'!AX431:BK432,2,FALSE)),"",HLOOKUP(O4,'G&amp;A bed occ.'!AX431:BK432,2,FALSE))</f>
        <v>0</v>
      </c>
      <c r="P80" s="62" t="str">
        <f>IF(ISBLANK(HLOOKUP(P4,'G&amp;A bed occ.'!AY431:BL432,2,FALSE)),"",HLOOKUP(P4,'G&amp;A bed occ.'!AY431:BL432,2,FALSE))</f>
        <v>0</v>
      </c>
      <c r="Q80" s="84"/>
      <c r="Z80" s="160"/>
      <c r="AA80" s="160"/>
      <c r="AB80" s="160"/>
      <c r="AC80" s="160"/>
    </row>
    <row r="81" spans="2:32" ht="30" customHeight="1" x14ac:dyDescent="0.35">
      <c r="C81" s="1"/>
    </row>
    <row r="82" spans="2:32" ht="15" customHeight="1" x14ac:dyDescent="0.35">
      <c r="B82" s="162" t="s">
        <v>8</v>
      </c>
      <c r="C82" s="39" t="s">
        <v>9</v>
      </c>
      <c r="D82" s="120">
        <v>40658.428571428572</v>
      </c>
      <c r="E82" s="120">
        <v>40129.428571428572</v>
      </c>
      <c r="F82" s="120">
        <v>37680.571428571428</v>
      </c>
      <c r="G82" s="120">
        <v>38508.714285714283</v>
      </c>
      <c r="H82" s="120">
        <v>41687</v>
      </c>
      <c r="I82" s="120">
        <v>42190.571428571428</v>
      </c>
      <c r="J82" s="120">
        <v>42338.428571428572</v>
      </c>
      <c r="K82" s="120">
        <v>42406</v>
      </c>
      <c r="L82" s="120">
        <v>42625.285714285717</v>
      </c>
      <c r="M82" s="120">
        <v>42515.571428571428</v>
      </c>
      <c r="N82" s="120">
        <v>42977.714285714283</v>
      </c>
      <c r="O82" s="120">
        <v>42593</v>
      </c>
      <c r="P82" s="120">
        <v>42292.857142857145</v>
      </c>
      <c r="Z82" s="163" t="s">
        <v>250</v>
      </c>
      <c r="AA82" s="163"/>
      <c r="AB82" s="163"/>
      <c r="AC82" s="163"/>
    </row>
    <row r="83" spans="2:32" x14ac:dyDescent="0.35">
      <c r="B83" s="162"/>
      <c r="C83" s="1" t="s">
        <v>252</v>
      </c>
      <c r="D83" s="129">
        <v>42353.857142857145</v>
      </c>
      <c r="E83" s="129">
        <v>42015</v>
      </c>
      <c r="F83" s="129">
        <v>41386.571428571428</v>
      </c>
      <c r="G83" s="129">
        <v>40775.571428571428</v>
      </c>
      <c r="H83" s="129">
        <v>44293.857142857145</v>
      </c>
      <c r="I83" s="129">
        <v>44755.714285714283</v>
      </c>
      <c r="J83" s="129">
        <v>44463.285714285717</v>
      </c>
      <c r="K83" s="129">
        <v>44319</v>
      </c>
      <c r="L83" s="129">
        <v>43811.857142857145</v>
      </c>
      <c r="M83" s="129">
        <v>43662.714285714283</v>
      </c>
      <c r="N83" s="129">
        <v>43538</v>
      </c>
      <c r="O83" s="129">
        <v>43416.714285714283</v>
      </c>
      <c r="P83" s="129">
        <v>43146.571428571428</v>
      </c>
      <c r="Z83" s="163"/>
      <c r="AA83" s="163"/>
      <c r="AB83" s="163"/>
      <c r="AC83" s="163"/>
    </row>
    <row r="84" spans="2:32" ht="7.5" customHeight="1" x14ac:dyDescent="0.35">
      <c r="B84" s="162"/>
      <c r="C84" s="39"/>
      <c r="Z84" s="163"/>
      <c r="AA84" s="163"/>
      <c r="AB84" s="163"/>
      <c r="AC84" s="163"/>
    </row>
    <row r="85" spans="2:32" x14ac:dyDescent="0.35">
      <c r="B85" s="162"/>
      <c r="C85" s="16" t="s">
        <v>294</v>
      </c>
      <c r="D85" s="139">
        <f>IFERROR(VLOOKUP(D$4,'Long stay'!$L$4:$T$17,2,FALSE),"")</f>
        <v>34728.142857142855</v>
      </c>
      <c r="E85" s="106">
        <f>IFERROR(VLOOKUP(E$4,'Long stay'!$L$4:$T$17,2,FALSE),"")</f>
        <v>35472.714285714283</v>
      </c>
      <c r="F85" s="106">
        <f>IFERROR(VLOOKUP(F$4,'Long stay'!$L$4:$T$17,2,FALSE),"")</f>
        <v>36472.571428571428</v>
      </c>
      <c r="G85" s="106">
        <f>IFERROR(VLOOKUP(G$4,'Long stay'!$L$4:$T$17,2,FALSE),"")</f>
        <v>34907.428571428572</v>
      </c>
      <c r="H85" s="106">
        <f>IFERROR(VLOOKUP(H$4,'Long stay'!$L$4:$T$17,2,FALSE),"")</f>
        <v>36063.571428571428</v>
      </c>
      <c r="I85" s="106">
        <f>IFERROR(VLOOKUP(I$4,'Long stay'!$L$4:$T$17,2,FALSE),"")</f>
        <v>37844.285714285717</v>
      </c>
      <c r="J85" s="106">
        <f>IFERROR(VLOOKUP(J$4,'Long stay'!$L$4:$T$17,2,FALSE),"")</f>
        <v>37004.428571428572</v>
      </c>
      <c r="K85" s="106">
        <f>IFERROR(VLOOKUP(K$4,'Long stay'!$L$4:$T$17,2,FALSE),"")</f>
        <v>36503.571428571428</v>
      </c>
      <c r="L85" s="106">
        <f>IFERROR(VLOOKUP(L$4,'Long stay'!$L$4:$T$17,2,FALSE),"")</f>
        <v>36763.285714285717</v>
      </c>
      <c r="M85" s="106">
        <f>IFERROR(VLOOKUP(M$4,'Long stay'!$L$4:$T$17,2,FALSE),"")</f>
        <v>36596.714285714283</v>
      </c>
      <c r="N85" s="106">
        <f>IFERROR(VLOOKUP(N$4,'Long stay'!$L$4:$T$17,2,FALSE),"")</f>
        <v>35704.857142857145</v>
      </c>
      <c r="O85" s="106">
        <f>IFERROR(VLOOKUP(O$4,'Long stay'!$L$4:$T$17,2,FALSE),"")</f>
        <v>34989.285714285717</v>
      </c>
      <c r="P85" s="106">
        <f>IFERROR(VLOOKUP(P$4,'Long stay'!$L$4:$T$17,2,FALSE),"")</f>
        <v>35430.285714285717</v>
      </c>
      <c r="Q85" s="78" t="str">
        <f>IFERROR(VLOOKUP(Q$4,'Long stay'!$L$4:$S$18,2,FALSE),"")</f>
        <v/>
      </c>
      <c r="Z85" s="163"/>
      <c r="AA85" s="163"/>
      <c r="AB85" s="163"/>
      <c r="AC85" s="163"/>
    </row>
    <row r="86" spans="2:32" x14ac:dyDescent="0.35">
      <c r="B86" s="162"/>
      <c r="C86" s="1" t="s">
        <v>1</v>
      </c>
      <c r="D86" s="134">
        <f>IFERROR(VLOOKUP(D$4,'Long stay'!$L$4:$T$17,3,FALSE),"")</f>
        <v>4930.2857142857147</v>
      </c>
      <c r="E86" s="134">
        <f>IFERROR(VLOOKUP(E$4,'Long stay'!$L$4:$T$17,3,FALSE),"")</f>
        <v>5053.2857142857147</v>
      </c>
      <c r="F86" s="134">
        <f>IFERROR(VLOOKUP(F$4,'Long stay'!$L$4:$T$17,3,FALSE),"")</f>
        <v>5214.1428571428569</v>
      </c>
      <c r="G86" s="134">
        <f>IFERROR(VLOOKUP(G$4,'Long stay'!$L$4:$T$17,3,FALSE),"")</f>
        <v>4994.5714285714284</v>
      </c>
      <c r="H86" s="134">
        <f>IFERROR(VLOOKUP(H$4,'Long stay'!$L$4:$T$17,3,FALSE),"")</f>
        <v>5095</v>
      </c>
      <c r="I86" s="134">
        <f>IFERROR(VLOOKUP(I$4,'Long stay'!$L$4:$T$17,3,FALSE),"")</f>
        <v>5172.2857142857147</v>
      </c>
      <c r="J86" s="134">
        <f>IFERROR(VLOOKUP(J$4,'Long stay'!$L$4:$T$17,3,FALSE),"")</f>
        <v>4962.7142857142853</v>
      </c>
      <c r="K86" s="134">
        <f>IFERROR(VLOOKUP(K$4,'Long stay'!$L$4:$T$17,3,FALSE),"")</f>
        <v>5037.4285714285716</v>
      </c>
      <c r="L86" s="134">
        <f>IFERROR(VLOOKUP(L$4,'Long stay'!$L$4:$T$17,3,FALSE),"")</f>
        <v>5055.8571428571431</v>
      </c>
      <c r="M86" s="134">
        <f>IFERROR(VLOOKUP(M$4,'Long stay'!$L$4:$T$17,3,FALSE),"")</f>
        <v>5180.5714285714284</v>
      </c>
      <c r="N86" s="134">
        <f>IFERROR(VLOOKUP(N$4,'Long stay'!$L$4:$T$17,3,FALSE),"")</f>
        <v>5015.8571428571431</v>
      </c>
      <c r="O86" s="134">
        <f>IFERROR(VLOOKUP(O$4,'Long stay'!$L$4:$T$17,3,FALSE),"")</f>
        <v>4891.8571428571431</v>
      </c>
      <c r="P86" s="134">
        <f>IFERROR(VLOOKUP(P$4,'Long stay'!$L$4:$T$17,3,FALSE),"")</f>
        <v>4844.5714285714284</v>
      </c>
      <c r="Q86" s="79" t="str">
        <f>IFERROR(VLOOKUP(Q$4,'Long stay'!$L$4:$S$18,3,FALSE),"")</f>
        <v/>
      </c>
      <c r="Z86" s="163"/>
      <c r="AA86" s="163"/>
      <c r="AB86" s="163"/>
      <c r="AC86" s="163"/>
    </row>
    <row r="87" spans="2:32" ht="15" customHeight="1" x14ac:dyDescent="0.35">
      <c r="B87" s="162"/>
      <c r="C87" s="1" t="s">
        <v>226</v>
      </c>
      <c r="D87" s="134">
        <f>IFERROR(VLOOKUP(D$4,'Long stay'!$L$4:$T$17,4,FALSE),"")</f>
        <v>6134.2857142857147</v>
      </c>
      <c r="E87" s="134">
        <f>IFERROR(VLOOKUP(E$4,'Long stay'!$L$4:$T$17,4,FALSE),"")</f>
        <v>6249.4285714285716</v>
      </c>
      <c r="F87" s="134">
        <f>IFERROR(VLOOKUP(F$4,'Long stay'!$L$4:$T$17,4,FALSE),"")</f>
        <v>6337.1428571428569</v>
      </c>
      <c r="G87" s="134">
        <f>IFERROR(VLOOKUP(G$4,'Long stay'!$L$4:$T$17,4,FALSE),"")</f>
        <v>6173.8571428571431</v>
      </c>
      <c r="H87" s="134">
        <f>IFERROR(VLOOKUP(H$4,'Long stay'!$L$4:$T$17,4,FALSE),"")</f>
        <v>6443.8571428571431</v>
      </c>
      <c r="I87" s="134">
        <f>IFERROR(VLOOKUP(I$4,'Long stay'!$L$4:$T$17,4,FALSE),"")</f>
        <v>6736.1428571428569</v>
      </c>
      <c r="J87" s="134">
        <f>IFERROR(VLOOKUP(J$4,'Long stay'!$L$4:$T$17,4,FALSE),"")</f>
        <v>6705.2857142857147</v>
      </c>
      <c r="K87" s="134">
        <f>IFERROR(VLOOKUP(K$4,'Long stay'!$L$4:$T$17,4,FALSE),"")</f>
        <v>6594.1428571428569</v>
      </c>
      <c r="L87" s="134">
        <f>IFERROR(VLOOKUP(L$4,'Long stay'!$L$4:$T$17,4,FALSE),"")</f>
        <v>6770.8571428571431</v>
      </c>
      <c r="M87" s="134">
        <f>IFERROR(VLOOKUP(M$4,'Long stay'!$L$4:$T$17,4,FALSE),"")</f>
        <v>6733.2857142857147</v>
      </c>
      <c r="N87" s="134">
        <f>IFERROR(VLOOKUP(N$4,'Long stay'!$L$4:$T$17,4,FALSE),"")</f>
        <v>6494</v>
      </c>
      <c r="O87" s="134">
        <f>IFERROR(VLOOKUP(O$4,'Long stay'!$L$4:$T$17,4,FALSE),"")</f>
        <v>6334.5714285714284</v>
      </c>
      <c r="P87" s="134">
        <f>IFERROR(VLOOKUP(P$4,'Long stay'!$L$4:$T$17,4,FALSE),"")</f>
        <v>6486.1428571428569</v>
      </c>
      <c r="Q87" s="79" t="str">
        <f>IFERROR(VLOOKUP(Q$4,'Long stay'!$L$4:$S$18,4,FALSE),"")</f>
        <v/>
      </c>
      <c r="Z87" s="160" t="s">
        <v>249</v>
      </c>
      <c r="AA87" s="160"/>
      <c r="AB87" s="160"/>
      <c r="AC87" s="160"/>
    </row>
    <row r="88" spans="2:32" ht="15" customHeight="1" x14ac:dyDescent="0.35">
      <c r="B88" s="162"/>
      <c r="C88" s="1" t="s">
        <v>253</v>
      </c>
      <c r="D88" s="134">
        <f>IFERROR(VLOOKUP(D$4,'Long stay'!$L$4:$T$17,8,FALSE),"")</f>
        <v>3578</v>
      </c>
      <c r="E88" s="134">
        <f>IFERROR(VLOOKUP(E$4,'Long stay'!$L$4:$T$17,8,FALSE),"")</f>
        <v>3696.5714285714284</v>
      </c>
      <c r="F88" s="134">
        <f>IFERROR(VLOOKUP(F$4,'Long stay'!$L$4:$T$17,8,FALSE),"")</f>
        <v>3930.5714285714284</v>
      </c>
      <c r="G88" s="134">
        <f>IFERROR(VLOOKUP(G$4,'Long stay'!$L$4:$T$17,8,FALSE),"")</f>
        <v>3854.4285714285716</v>
      </c>
      <c r="H88" s="134">
        <f>IFERROR(VLOOKUP(H$4,'Long stay'!$L$4:$T$17,8,FALSE),"")</f>
        <v>4051.7142857142858</v>
      </c>
      <c r="I88" s="134">
        <f>IFERROR(VLOOKUP(I$4,'Long stay'!$L$4:$T$17,8,FALSE),"")</f>
        <v>4175.2857142857147</v>
      </c>
      <c r="J88" s="134">
        <f>IFERROR(VLOOKUP(J$4,'Long stay'!$L$4:$T$17,8,FALSE),"")</f>
        <v>3878.1428571428573</v>
      </c>
      <c r="K88" s="134">
        <f>IFERROR(VLOOKUP(K$4,'Long stay'!$L$4:$T$17,8,FALSE),"")</f>
        <v>3826</v>
      </c>
      <c r="L88" s="134">
        <f>IFERROR(VLOOKUP(L$4,'Long stay'!$L$4:$T$17,8,FALSE),"")</f>
        <v>3829.7142857142858</v>
      </c>
      <c r="M88" s="134">
        <f>IFERROR(VLOOKUP(M$4,'Long stay'!$L$4:$T$17,8,FALSE),"")</f>
        <v>3782.5714285714284</v>
      </c>
      <c r="N88" s="134">
        <f>IFERROR(VLOOKUP(N$4,'Long stay'!$L$4:$T$17,8,FALSE),"")</f>
        <v>3701.5714285714284</v>
      </c>
      <c r="O88" s="134">
        <f>IFERROR(VLOOKUP(O$4,'Long stay'!$L$4:$T$17,8,FALSE),"")</f>
        <v>3534</v>
      </c>
      <c r="P88" s="134">
        <f>IFERROR(VLOOKUP(P$4,'Long stay'!$L$4:$T$17,8,FALSE),"")</f>
        <v>3599</v>
      </c>
      <c r="Q88" s="79"/>
      <c r="Z88" s="160"/>
      <c r="AA88" s="160"/>
      <c r="AB88" s="160"/>
      <c r="AC88" s="160"/>
    </row>
    <row r="89" spans="2:32" ht="15" customHeight="1" x14ac:dyDescent="0.35">
      <c r="B89" s="162"/>
      <c r="C89" s="1" t="s">
        <v>254</v>
      </c>
      <c r="D89" s="134">
        <f>IFERROR(VLOOKUP(D$4,'Long stay'!$L$4:$T$17,5,FALSE),"")</f>
        <v>5921.5714285714284</v>
      </c>
      <c r="E89" s="134">
        <f>IFERROR(VLOOKUP(E$4,'Long stay'!$L$4:$T$17,5,FALSE),"")</f>
        <v>6065.8571428571431</v>
      </c>
      <c r="F89" s="134">
        <f>IFERROR(VLOOKUP(F$4,'Long stay'!$L$4:$T$17,5,FALSE),"")</f>
        <v>6231</v>
      </c>
      <c r="G89" s="134">
        <f>IFERROR(VLOOKUP(G$4,'Long stay'!$L$4:$T$17,5,FALSE),"")</f>
        <v>5847.4285714285716</v>
      </c>
      <c r="H89" s="134">
        <f>IFERROR(VLOOKUP(H$4,'Long stay'!$L$4:$T$17,5,FALSE),"")</f>
        <v>5985.2857142857147</v>
      </c>
      <c r="I89" s="134">
        <f>IFERROR(VLOOKUP(I$4,'Long stay'!$L$4:$T$17,5,FALSE),"")</f>
        <v>6325.5714285714284</v>
      </c>
      <c r="J89" s="134">
        <f>IFERROR(VLOOKUP(J$4,'Long stay'!$L$4:$T$17,5,FALSE),"")</f>
        <v>6342.8571428571431</v>
      </c>
      <c r="K89" s="134">
        <f>IFERROR(VLOOKUP(K$4,'Long stay'!$L$4:$T$17,5,FALSE),"")</f>
        <v>6300</v>
      </c>
      <c r="L89" s="134">
        <f>IFERROR(VLOOKUP(L$4,'Long stay'!$L$4:$T$17,5,FALSE),"")</f>
        <v>6377.1428571428569</v>
      </c>
      <c r="M89" s="134">
        <f>IFERROR(VLOOKUP(M$4,'Long stay'!$L$4:$T$17,5,FALSE),"")</f>
        <v>6338.7142857142853</v>
      </c>
      <c r="N89" s="134">
        <f>IFERROR(VLOOKUP(N$4,'Long stay'!$L$4:$T$17,5,FALSE),"")</f>
        <v>6242.8571428571431</v>
      </c>
      <c r="O89" s="134">
        <f>IFERROR(VLOOKUP(O$4,'Long stay'!$L$4:$T$17,5,FALSE),"")</f>
        <v>6138.5714285714284</v>
      </c>
      <c r="P89" s="134">
        <f>IFERROR(VLOOKUP(P$4,'Long stay'!$L$4:$T$17,5,FALSE),"")</f>
        <v>6299.2857142857147</v>
      </c>
      <c r="Q89" s="79"/>
      <c r="Z89" s="160"/>
      <c r="AA89" s="160"/>
      <c r="AB89" s="160"/>
      <c r="AC89" s="160"/>
    </row>
    <row r="90" spans="2:32" x14ac:dyDescent="0.35">
      <c r="B90" s="162"/>
      <c r="C90" s="1" t="s">
        <v>256</v>
      </c>
      <c r="D90" s="134">
        <f>IFERROR(VLOOKUP(D$4,'Long stay'!$L$4:$T$17,9,FALSE),"")</f>
        <v>5820</v>
      </c>
      <c r="E90" s="134">
        <f>IFERROR(VLOOKUP(E$4,'Long stay'!$L$4:$T$17,9,FALSE),"")</f>
        <v>5860</v>
      </c>
      <c r="F90" s="134">
        <f>IFERROR(VLOOKUP(F$4,'Long stay'!$L$4:$T$17,9,FALSE),"")</f>
        <v>5891.2857142857147</v>
      </c>
      <c r="G90" s="134">
        <f>IFERROR(VLOOKUP(G$4,'Long stay'!$L$4:$T$17,9,FALSE),"")</f>
        <v>5540.5714285714284</v>
      </c>
      <c r="H90" s="134">
        <f>IFERROR(VLOOKUP(H$4,'Long stay'!$L$4:$T$17,9,FALSE),"")</f>
        <v>5811.4285714285716</v>
      </c>
      <c r="I90" s="134">
        <f>IFERROR(VLOOKUP(I$4,'Long stay'!$L$4:$T$17,9,FALSE),"")</f>
        <v>6238.2857142857147</v>
      </c>
      <c r="J90" s="134">
        <f>IFERROR(VLOOKUP(J$4,'Long stay'!$L$4:$T$17,9,FALSE),"")</f>
        <v>6026.5714285714284</v>
      </c>
      <c r="K90" s="134">
        <f>IFERROR(VLOOKUP(K$4,'Long stay'!$L$4:$T$17,9,FALSE),"")</f>
        <v>5868.1428571428569</v>
      </c>
      <c r="L90" s="134">
        <f>IFERROR(VLOOKUP(L$4,'Long stay'!$L$4:$T$17,9,FALSE),"")</f>
        <v>5816.2857142857147</v>
      </c>
      <c r="M90" s="134">
        <f>IFERROR(VLOOKUP(M$4,'Long stay'!$L$4:$T$17,9,FALSE),"")</f>
        <v>5697.5714285714284</v>
      </c>
      <c r="N90" s="134">
        <f>IFERROR(VLOOKUP(N$4,'Long stay'!$L$4:$T$17,9,FALSE),"")</f>
        <v>5621.4285714285716</v>
      </c>
      <c r="O90" s="134">
        <f>IFERROR(VLOOKUP(O$4,'Long stay'!$L$4:$T$17,9,FALSE),"")</f>
        <v>5600.7142857142853</v>
      </c>
      <c r="P90" s="134">
        <f>IFERROR(VLOOKUP(P$4,'Long stay'!$L$4:$T$17,9,FALSE),"")</f>
        <v>5645.7142857142853</v>
      </c>
      <c r="Q90" s="79" t="str">
        <f>IFERROR(VLOOKUP(Q$4,'Long stay'!$L$4:$S$18,5,FALSE),"")</f>
        <v/>
      </c>
      <c r="Z90" s="160"/>
      <c r="AA90" s="160"/>
      <c r="AB90" s="160"/>
      <c r="AC90" s="160"/>
    </row>
    <row r="91" spans="2:32" ht="15" customHeight="1" x14ac:dyDescent="0.35">
      <c r="B91" s="162"/>
      <c r="C91" s="1" t="s">
        <v>223</v>
      </c>
      <c r="D91" s="134">
        <f>IFERROR(VLOOKUP(D$4,'Long stay'!$L$4:$T$17,6,FALSE),"")</f>
        <v>4885.8571428571431</v>
      </c>
      <c r="E91" s="134">
        <f>IFERROR(VLOOKUP(E$4,'Long stay'!$L$4:$T$17,6,FALSE),"")</f>
        <v>4979.4285714285716</v>
      </c>
      <c r="F91" s="134">
        <f>IFERROR(VLOOKUP(F$4,'Long stay'!$L$4:$T$17,6,FALSE),"")</f>
        <v>5155.4285714285716</v>
      </c>
      <c r="G91" s="134">
        <f>IFERROR(VLOOKUP(G$4,'Long stay'!$L$4:$T$17,6,FALSE),"")</f>
        <v>4952.4285714285716</v>
      </c>
      <c r="H91" s="134">
        <f>IFERROR(VLOOKUP(H$4,'Long stay'!$L$4:$T$17,6,FALSE),"")</f>
        <v>5002</v>
      </c>
      <c r="I91" s="134">
        <f>IFERROR(VLOOKUP(I$4,'Long stay'!$L$4:$T$17,6,FALSE),"")</f>
        <v>5278</v>
      </c>
      <c r="J91" s="134">
        <f>IFERROR(VLOOKUP(J$4,'Long stay'!$L$4:$T$17,6,FALSE),"")</f>
        <v>5263.4285714285716</v>
      </c>
      <c r="K91" s="134">
        <f>IFERROR(VLOOKUP(K$4,'Long stay'!$L$4:$T$17,6,FALSE),"")</f>
        <v>5146.1428571428569</v>
      </c>
      <c r="L91" s="134">
        <f>IFERROR(VLOOKUP(L$4,'Long stay'!$L$4:$T$17,6,FALSE),"")</f>
        <v>5275</v>
      </c>
      <c r="M91" s="134">
        <f>IFERROR(VLOOKUP(M$4,'Long stay'!$L$4:$T$17,6,FALSE),"")</f>
        <v>5213.1428571428569</v>
      </c>
      <c r="N91" s="134">
        <f>IFERROR(VLOOKUP(N$4,'Long stay'!$L$4:$T$17,6,FALSE),"")</f>
        <v>5051.5714285714284</v>
      </c>
      <c r="O91" s="134">
        <f>IFERROR(VLOOKUP(O$4,'Long stay'!$L$4:$T$17,6,FALSE),"")</f>
        <v>4950.5714285714284</v>
      </c>
      <c r="P91" s="134">
        <f>IFERROR(VLOOKUP(P$4,'Long stay'!$L$4:$T$17,6,FALSE),"")</f>
        <v>4956.7142857142853</v>
      </c>
      <c r="Q91" s="79" t="str">
        <f>IFERROR(VLOOKUP(Q$4,'Long stay'!$L$4:$S$18,6,FALSE),"")</f>
        <v/>
      </c>
      <c r="Z91" s="160"/>
      <c r="AA91" s="160"/>
      <c r="AB91" s="160"/>
      <c r="AC91" s="160"/>
      <c r="AE91" s="3"/>
      <c r="AF91" s="3"/>
    </row>
    <row r="92" spans="2:32" ht="15" customHeight="1" x14ac:dyDescent="0.35">
      <c r="B92" s="162"/>
      <c r="C92" s="11" t="s">
        <v>224</v>
      </c>
      <c r="D92" s="134">
        <f>IFERROR(VLOOKUP(D$4,'Long stay'!$L$4:$T$17,7,FALSE),"")</f>
        <v>3458.1428571428573</v>
      </c>
      <c r="E92" s="134">
        <f>IFERROR(VLOOKUP(E$4,'Long stay'!$L$4:$T$17,7,FALSE),"")</f>
        <v>3568.1428571428573</v>
      </c>
      <c r="F92" s="134">
        <f>IFERROR(VLOOKUP(F$4,'Long stay'!$L$4:$T$17,7,FALSE),"")</f>
        <v>3713</v>
      </c>
      <c r="G92" s="134">
        <f>IFERROR(VLOOKUP(G$4,'Long stay'!$L$4:$T$17,7,FALSE),"")</f>
        <v>3544.1428571428573</v>
      </c>
      <c r="H92" s="134">
        <f>IFERROR(VLOOKUP(H$4,'Long stay'!$L$4:$T$17,7,FALSE),"")</f>
        <v>3674.2857142857142</v>
      </c>
      <c r="I92" s="134">
        <f>IFERROR(VLOOKUP(I$4,'Long stay'!$L$4:$T$17,7,FALSE),"")</f>
        <v>3918.7142857142858</v>
      </c>
      <c r="J92" s="134">
        <f>IFERROR(VLOOKUP(J$4,'Long stay'!$L$4:$T$17,7,FALSE),"")</f>
        <v>3825.4285714285716</v>
      </c>
      <c r="K92" s="134">
        <f>IFERROR(VLOOKUP(K$4,'Long stay'!$L$4:$T$17,7,FALSE),"")</f>
        <v>3731.7142857142858</v>
      </c>
      <c r="L92" s="134">
        <f>IFERROR(VLOOKUP(L$4,'Long stay'!$L$4:$T$17,7,FALSE),"")</f>
        <v>3638.4285714285716</v>
      </c>
      <c r="M92" s="134">
        <f>IFERROR(VLOOKUP(M$4,'Long stay'!$L$4:$T$17,7,FALSE),"")</f>
        <v>3650.8571428571427</v>
      </c>
      <c r="N92" s="134">
        <f>IFERROR(VLOOKUP(N$4,'Long stay'!$L$4:$T$17,7,FALSE),"")</f>
        <v>3577.5714285714284</v>
      </c>
      <c r="O92" s="134">
        <f>IFERROR(VLOOKUP(O$4,'Long stay'!$L$4:$T$17,7,FALSE),"")</f>
        <v>3539</v>
      </c>
      <c r="P92" s="134">
        <f>IFERROR(VLOOKUP(P$4,'Long stay'!$L$4:$T$17,7,FALSE),"")</f>
        <v>3598.8571428571427</v>
      </c>
      <c r="Q92" s="79" t="str">
        <f>IFERROR(VLOOKUP(Q$4,'Long stay'!$L$4:$S$18,7,FALSE),"")</f>
        <v/>
      </c>
      <c r="Z92" s="160"/>
      <c r="AA92" s="160"/>
      <c r="AB92" s="160"/>
      <c r="AC92" s="160"/>
    </row>
    <row r="93" spans="2:32" ht="7.5" customHeight="1" x14ac:dyDescent="0.35">
      <c r="B93" s="162"/>
      <c r="Z93" s="160"/>
      <c r="AA93" s="160"/>
      <c r="AB93" s="160"/>
      <c r="AC93" s="160"/>
    </row>
    <row r="94" spans="2:32" ht="17.25" customHeight="1" x14ac:dyDescent="0.35">
      <c r="B94" s="162"/>
      <c r="C94" s="39" t="s">
        <v>229</v>
      </c>
      <c r="D94" s="120">
        <v>23080.857142857141</v>
      </c>
      <c r="E94" s="120">
        <v>22984.142857142859</v>
      </c>
      <c r="F94" s="120">
        <v>21743.714285714286</v>
      </c>
      <c r="G94" s="120">
        <v>21803.714285714286</v>
      </c>
      <c r="H94" s="120">
        <v>24544.714285714286</v>
      </c>
      <c r="I94" s="120">
        <v>24498.142857142859</v>
      </c>
      <c r="J94" s="120">
        <v>24169.428571428572</v>
      </c>
      <c r="K94" s="120">
        <v>24466</v>
      </c>
      <c r="L94" s="120">
        <v>24489.428571428572</v>
      </c>
      <c r="M94" s="120">
        <v>24371.571428571428</v>
      </c>
      <c r="N94" s="120">
        <v>24538.857142857141</v>
      </c>
      <c r="O94" s="120">
        <v>24669.142857142859</v>
      </c>
      <c r="P94" s="120">
        <v>24758.285714285714</v>
      </c>
      <c r="Z94" s="160"/>
      <c r="AA94" s="160"/>
      <c r="AB94" s="160"/>
      <c r="AC94" s="160"/>
    </row>
    <row r="95" spans="2:32" ht="14.25" customHeight="1" x14ac:dyDescent="0.35">
      <c r="B95" s="162"/>
      <c r="C95" s="1" t="s">
        <v>252</v>
      </c>
      <c r="D95" s="129">
        <v>24440.428571428572</v>
      </c>
      <c r="E95" s="129">
        <v>24255</v>
      </c>
      <c r="F95" s="129">
        <v>23700.571428571428</v>
      </c>
      <c r="G95" s="129">
        <v>23240.142857142859</v>
      </c>
      <c r="H95" s="129">
        <v>26075.857142857141</v>
      </c>
      <c r="I95" s="129">
        <v>26588.571428571428</v>
      </c>
      <c r="J95" s="129">
        <v>25931.428571428572</v>
      </c>
      <c r="K95" s="129">
        <v>26034.571428571428</v>
      </c>
      <c r="L95" s="129">
        <v>25894.285714285714</v>
      </c>
      <c r="M95" s="129">
        <v>25497</v>
      </c>
      <c r="N95" s="129">
        <v>25639.714285714286</v>
      </c>
      <c r="O95" s="129">
        <v>25406.142857142859</v>
      </c>
      <c r="P95" s="129">
        <v>25337.428571428572</v>
      </c>
      <c r="Q95" s="85"/>
      <c r="Z95" s="160"/>
      <c r="AA95" s="160"/>
      <c r="AB95" s="160"/>
      <c r="AC95" s="160"/>
    </row>
    <row r="96" spans="2:32" ht="8.25" customHeight="1" x14ac:dyDescent="0.35">
      <c r="B96" s="162"/>
      <c r="C96" s="39"/>
      <c r="Q96" s="83"/>
      <c r="Z96" s="160"/>
      <c r="AA96" s="160"/>
      <c r="AB96" s="160"/>
      <c r="AC96" s="160"/>
    </row>
    <row r="97" spans="2:32" x14ac:dyDescent="0.35">
      <c r="B97" s="162"/>
      <c r="C97" s="16" t="s">
        <v>294</v>
      </c>
      <c r="D97" s="101">
        <f>IFERROR(VLOOKUP(D$4,'Long stay'!$BB$4:$BJ$17,2,FALSE),"")</f>
        <v>18825</v>
      </c>
      <c r="E97" s="106">
        <f>IFERROR(VLOOKUP(E$4,'Long stay'!$BB$4:$BJ$17,2,FALSE),"")</f>
        <v>18986.714285714286</v>
      </c>
      <c r="F97" s="106">
        <f>IFERROR(VLOOKUP(F$4,'Long stay'!$BB$4:$BJ$17,2,FALSE),"")</f>
        <v>19415.857142857141</v>
      </c>
      <c r="G97" s="106">
        <f>IFERROR(VLOOKUP(G$4,'Long stay'!$BB$4:$BJ$17,2,FALSE),"")</f>
        <v>19112.714285714286</v>
      </c>
      <c r="H97" s="106">
        <f>IFERROR(VLOOKUP(H$4,'Long stay'!$BB$4:$BJ$17,2,FALSE),"")</f>
        <v>19970.857142857141</v>
      </c>
      <c r="I97" s="106">
        <f>IFERROR(VLOOKUP(I$4,'Long stay'!$BB$4:$BJ$17,2,FALSE),"")</f>
        <v>20653.714285714286</v>
      </c>
      <c r="J97" s="106">
        <f>IFERROR(VLOOKUP(J$4,'Long stay'!$BB$4:$BJ$17,2,FALSE),"")</f>
        <v>19736</v>
      </c>
      <c r="K97" s="106">
        <f>IFERROR(VLOOKUP(K$4,'Long stay'!$BB$4:$BJ$17,2,FALSE),"")</f>
        <v>19302.285714285714</v>
      </c>
      <c r="L97" s="106">
        <f>IFERROR(VLOOKUP(L$4,'Long stay'!$BB$4:$BJ$17,2,FALSE),"")</f>
        <v>19256.285714285714</v>
      </c>
      <c r="M97" s="106">
        <f>IFERROR(VLOOKUP(M$4,'Long stay'!$BB$4:$BJ$17,2,FALSE),"")</f>
        <v>19522.571428571428</v>
      </c>
      <c r="N97" s="106">
        <f>IFERROR(VLOOKUP(N$4,'Long stay'!$BB$4:$BJ$17,2,FALSE),"")</f>
        <v>19380.142857142859</v>
      </c>
      <c r="O97" s="106">
        <f>IFERROR(VLOOKUP(O$4,'Long stay'!$BB$4:$BJ$17,2,FALSE),"")</f>
        <v>19201.428571428572</v>
      </c>
      <c r="P97" s="106">
        <f>IFERROR(VLOOKUP(P$4,'Long stay'!$BB$4:$BJ$17,2,FALSE),"")</f>
        <v>18957.428571428572</v>
      </c>
      <c r="Q97" s="78" t="str">
        <f>IFERROR(VLOOKUP(Q$4,'Long stay'!$AF$4:$AM$18,2,FALSE),"")</f>
        <v/>
      </c>
      <c r="Z97" s="160"/>
      <c r="AA97" s="160"/>
      <c r="AB97" s="160"/>
      <c r="AC97" s="160"/>
    </row>
    <row r="98" spans="2:32" x14ac:dyDescent="0.35">
      <c r="B98" s="162"/>
      <c r="C98" s="1" t="s">
        <v>1</v>
      </c>
      <c r="D98" s="134">
        <f>IFERROR(VLOOKUP(D$4,'Long stay'!$BB$4:$BJ$17,3,FALSE),"")</f>
        <v>2682.8571428571427</v>
      </c>
      <c r="E98" s="134">
        <f>IFERROR(VLOOKUP(E$4,'Long stay'!$BB$4:$BJ$17,3,FALSE),"")</f>
        <v>2776.4285714285716</v>
      </c>
      <c r="F98" s="134">
        <f>IFERROR(VLOOKUP(F$4,'Long stay'!$BB$4:$BJ$17,3,FALSE),"")</f>
        <v>2903.5714285714284</v>
      </c>
      <c r="G98" s="134">
        <f>IFERROR(VLOOKUP(G$4,'Long stay'!$BB$4:$BJ$17,3,FALSE),"")</f>
        <v>2801.5714285714284</v>
      </c>
      <c r="H98" s="134">
        <f>IFERROR(VLOOKUP(H$4,'Long stay'!$BB$4:$BJ$17,3,FALSE),"")</f>
        <v>2801.8571428571427</v>
      </c>
      <c r="I98" s="134">
        <f>IFERROR(VLOOKUP(I$4,'Long stay'!$BB$4:$BJ$17,3,FALSE),"")</f>
        <v>2892.8571428571427</v>
      </c>
      <c r="J98" s="134">
        <f>IFERROR(VLOOKUP(J$4,'Long stay'!$BB$4:$BJ$17,3,FALSE),"")</f>
        <v>2558.5714285714284</v>
      </c>
      <c r="K98" s="134">
        <f>IFERROR(VLOOKUP(K$4,'Long stay'!$BB$4:$BJ$17,3,FALSE),"")</f>
        <v>2577.4285714285716</v>
      </c>
      <c r="L98" s="134">
        <f>IFERROR(VLOOKUP(L$4,'Long stay'!$BB$4:$BJ$17,3,FALSE),"")</f>
        <v>2648.8571428571427</v>
      </c>
      <c r="M98" s="134">
        <f>IFERROR(VLOOKUP(M$4,'Long stay'!$BB$4:$BJ$17,3,FALSE),"")</f>
        <v>2805.1428571428573</v>
      </c>
      <c r="N98" s="134">
        <f>IFERROR(VLOOKUP(N$4,'Long stay'!$BB$4:$BJ$17,3,FALSE),"")</f>
        <v>2851.2857142857142</v>
      </c>
      <c r="O98" s="134">
        <f>IFERROR(VLOOKUP(O$4,'Long stay'!$BB$4:$BJ$17,3,FALSE),"")</f>
        <v>2847</v>
      </c>
      <c r="P98" s="134">
        <f>IFERROR(VLOOKUP(P$4,'Long stay'!$BB$4:$BJ$17,3,FALSE),"")</f>
        <v>2782.2857142857142</v>
      </c>
      <c r="Q98" s="79" t="str">
        <f>IFERROR(VLOOKUP(Q$4,'Long stay'!$AF$4:$AM$18,3,FALSE),"")</f>
        <v/>
      </c>
      <c r="Z98" s="160"/>
      <c r="AA98" s="160"/>
      <c r="AB98" s="160"/>
      <c r="AC98" s="160"/>
    </row>
    <row r="99" spans="2:32" x14ac:dyDescent="0.35">
      <c r="B99" s="162"/>
      <c r="C99" s="1" t="s">
        <v>226</v>
      </c>
      <c r="D99" s="134">
        <f>IFERROR(VLOOKUP(D$4,'Long stay'!$BB$4:$BJ$17,4,FALSE),"")</f>
        <v>3120.8571428571427</v>
      </c>
      <c r="E99" s="134">
        <f>IFERROR(VLOOKUP(E$4,'Long stay'!$BB$4:$BJ$17,4,FALSE),"")</f>
        <v>3184.4285714285716</v>
      </c>
      <c r="F99" s="134">
        <f>IFERROR(VLOOKUP(F$4,'Long stay'!$BB$4:$BJ$17,4,FALSE),"")</f>
        <v>3213.4285714285716</v>
      </c>
      <c r="G99" s="134">
        <f>IFERROR(VLOOKUP(G$4,'Long stay'!$BB$4:$BJ$17,4,FALSE),"")</f>
        <v>3217.2857142857142</v>
      </c>
      <c r="H99" s="134">
        <f>IFERROR(VLOOKUP(H$4,'Long stay'!$BB$4:$BJ$17,4,FALSE),"")</f>
        <v>3437.5714285714284</v>
      </c>
      <c r="I99" s="134">
        <f>IFERROR(VLOOKUP(I$4,'Long stay'!$BB$4:$BJ$17,4,FALSE),"")</f>
        <v>3518.4285714285716</v>
      </c>
      <c r="J99" s="134">
        <f>IFERROR(VLOOKUP(J$4,'Long stay'!$BB$4:$BJ$17,4,FALSE),"")</f>
        <v>3474.8571428571427</v>
      </c>
      <c r="K99" s="134">
        <f>IFERROR(VLOOKUP(K$4,'Long stay'!$BB$4:$BJ$17,4,FALSE),"")</f>
        <v>3398.4285714285716</v>
      </c>
      <c r="L99" s="134">
        <f>IFERROR(VLOOKUP(L$4,'Long stay'!$BB$4:$BJ$17,4,FALSE),"")</f>
        <v>3407.5714285714284</v>
      </c>
      <c r="M99" s="134">
        <f>IFERROR(VLOOKUP(M$4,'Long stay'!$BB$4:$BJ$17,4,FALSE),"")</f>
        <v>3443.1428571428573</v>
      </c>
      <c r="N99" s="134">
        <f>IFERROR(VLOOKUP(N$4,'Long stay'!$BB$4:$BJ$17,4,FALSE),"")</f>
        <v>3413.2857142857142</v>
      </c>
      <c r="O99" s="134">
        <f>IFERROR(VLOOKUP(O$4,'Long stay'!$BB$4:$BJ$17,4,FALSE),"")</f>
        <v>3338.5714285714284</v>
      </c>
      <c r="P99" s="134">
        <f>IFERROR(VLOOKUP(P$4,'Long stay'!$BB$4:$BJ$17,4,FALSE),"")</f>
        <v>3292.2857142857142</v>
      </c>
      <c r="Q99" s="79" t="str">
        <f>IFERROR(VLOOKUP(Q$4,'Long stay'!$AF$4:$AM$18,4,FALSE),"")</f>
        <v/>
      </c>
      <c r="Z99" s="160"/>
      <c r="AA99" s="160"/>
      <c r="AB99" s="160"/>
      <c r="AC99" s="160"/>
      <c r="AE99" s="3"/>
      <c r="AF99" s="3"/>
    </row>
    <row r="100" spans="2:32" x14ac:dyDescent="0.35">
      <c r="B100" s="162"/>
      <c r="C100" s="1" t="s">
        <v>253</v>
      </c>
      <c r="D100" s="134">
        <f>IFERROR(VLOOKUP(D$4,'Long stay'!$BB$4:$BJ$17,8,FALSE),"")</f>
        <v>1874.5714285714287</v>
      </c>
      <c r="E100" s="134">
        <f>IFERROR(VLOOKUP(E$4,'Long stay'!$BB$4:$BJ$17,8,FALSE),"")</f>
        <v>1840.2857142857142</v>
      </c>
      <c r="F100" s="134">
        <f>IFERROR(VLOOKUP(F$4,'Long stay'!$BB$4:$BJ$17,8,FALSE),"")</f>
        <v>1954.1428571428571</v>
      </c>
      <c r="G100" s="134">
        <f>IFERROR(VLOOKUP(G$4,'Long stay'!$BB$4:$BJ$17,8,FALSE),"")</f>
        <v>2016</v>
      </c>
      <c r="H100" s="134">
        <f>IFERROR(VLOOKUP(H$4,'Long stay'!$BB$4:$BJ$17,8,FALSE),"")</f>
        <v>2157.7142857142858</v>
      </c>
      <c r="I100" s="134">
        <f>IFERROR(VLOOKUP(I$4,'Long stay'!$BB$4:$BJ$17,8,FALSE),"")</f>
        <v>2198</v>
      </c>
      <c r="J100" s="134">
        <f>IFERROR(VLOOKUP(J$4,'Long stay'!$BB$4:$BJ$17,8,FALSE),"")</f>
        <v>2036.5714285714287</v>
      </c>
      <c r="K100" s="134">
        <f>IFERROR(VLOOKUP(K$4,'Long stay'!$BB$4:$BJ$17,8,FALSE),"")</f>
        <v>1933.7142857142858</v>
      </c>
      <c r="L100" s="134">
        <f>IFERROR(VLOOKUP(L$4,'Long stay'!$BB$4:$BJ$17,8,FALSE),"")</f>
        <v>1960</v>
      </c>
      <c r="M100" s="134">
        <f>IFERROR(VLOOKUP(M$4,'Long stay'!$BB$4:$BJ$17,8,FALSE),"")</f>
        <v>1920.4285714285713</v>
      </c>
      <c r="N100" s="134">
        <f>IFERROR(VLOOKUP(N$4,'Long stay'!$BB$4:$BJ$17,8,FALSE),"")</f>
        <v>1893.5714285714287</v>
      </c>
      <c r="O100" s="134">
        <f>IFERROR(VLOOKUP(O$4,'Long stay'!$BB$4:$BJ$17,8,FALSE),"")</f>
        <v>1826.4285714285713</v>
      </c>
      <c r="P100" s="134">
        <f>IFERROR(VLOOKUP(P$4,'Long stay'!$BB$4:$BJ$17,8,FALSE),"")</f>
        <v>1802.7142857142858</v>
      </c>
      <c r="Q100" s="79"/>
      <c r="Z100" s="160"/>
      <c r="AA100" s="160"/>
      <c r="AB100" s="160"/>
      <c r="AC100" s="160"/>
    </row>
    <row r="101" spans="2:32" x14ac:dyDescent="0.35">
      <c r="B101" s="162"/>
      <c r="C101" s="1" t="s">
        <v>254</v>
      </c>
      <c r="D101" s="134">
        <f>IFERROR(VLOOKUP(D$4,'Long stay'!$BB$4:$BJ$17,5,FALSE),"")</f>
        <v>3262.4285714285716</v>
      </c>
      <c r="E101" s="134">
        <f>IFERROR(VLOOKUP(E$4,'Long stay'!$BB$4:$BJ$17,5,FALSE),"")</f>
        <v>3282.1428571428573</v>
      </c>
      <c r="F101" s="134">
        <f>IFERROR(VLOOKUP(F$4,'Long stay'!$BB$4:$BJ$17,5,FALSE),"")</f>
        <v>3349.2857142857142</v>
      </c>
      <c r="G101" s="134">
        <f>IFERROR(VLOOKUP(G$4,'Long stay'!$BB$4:$BJ$17,5,FALSE),"")</f>
        <v>3228</v>
      </c>
      <c r="H101" s="134">
        <f>IFERROR(VLOOKUP(H$4,'Long stay'!$BB$4:$BJ$17,5,FALSE),"")</f>
        <v>3363.1428571428573</v>
      </c>
      <c r="I101" s="134">
        <f>IFERROR(VLOOKUP(I$4,'Long stay'!$BB$4:$BJ$17,5,FALSE),"")</f>
        <v>3466.1428571428573</v>
      </c>
      <c r="J101" s="134">
        <f>IFERROR(VLOOKUP(J$4,'Long stay'!$BB$4:$BJ$17,5,FALSE),"")</f>
        <v>3339.5714285714284</v>
      </c>
      <c r="K101" s="134">
        <f>IFERROR(VLOOKUP(K$4,'Long stay'!$BB$4:$BJ$17,5,FALSE),"")</f>
        <v>3367.7142857142858</v>
      </c>
      <c r="L101" s="134">
        <f>IFERROR(VLOOKUP(L$4,'Long stay'!$BB$4:$BJ$17,5,FALSE),"")</f>
        <v>3419.1428571428573</v>
      </c>
      <c r="M101" s="134">
        <f>IFERROR(VLOOKUP(M$4,'Long stay'!$BB$4:$BJ$17,5,FALSE),"")</f>
        <v>3441.8571428571427</v>
      </c>
      <c r="N101" s="134">
        <f>IFERROR(VLOOKUP(N$4,'Long stay'!$BB$4:$BJ$17,5,FALSE),"")</f>
        <v>3423</v>
      </c>
      <c r="O101" s="134">
        <f>IFERROR(VLOOKUP(O$4,'Long stay'!$BB$4:$BJ$17,5,FALSE),"")</f>
        <v>3358.4285714285716</v>
      </c>
      <c r="P101" s="134">
        <f>IFERROR(VLOOKUP(P$4,'Long stay'!$BB$4:$BJ$17,5,FALSE),"")</f>
        <v>3412.7142857142858</v>
      </c>
      <c r="Q101" s="79"/>
      <c r="Z101" s="160"/>
      <c r="AA101" s="160"/>
      <c r="AB101" s="160"/>
      <c r="AC101" s="160"/>
    </row>
    <row r="102" spans="2:32" x14ac:dyDescent="0.35">
      <c r="B102" s="162"/>
      <c r="C102" s="1" t="s">
        <v>256</v>
      </c>
      <c r="D102" s="134">
        <f>IFERROR(VLOOKUP(D$4,'Long stay'!$BB$4:$BJ$17,9,FALSE),"")</f>
        <v>3454.1428571428573</v>
      </c>
      <c r="E102" s="134">
        <f>IFERROR(VLOOKUP(E$4,'Long stay'!$BB$4:$BJ$17,9,FALSE),"")</f>
        <v>3422.5714285714284</v>
      </c>
      <c r="F102" s="134">
        <f>IFERROR(VLOOKUP(F$4,'Long stay'!$BB$4:$BJ$17,9,FALSE),"")</f>
        <v>3443.4285714285716</v>
      </c>
      <c r="G102" s="134">
        <f>IFERROR(VLOOKUP(G$4,'Long stay'!$BB$4:$BJ$17,9,FALSE),"")</f>
        <v>3256.7142857142858</v>
      </c>
      <c r="H102" s="134">
        <f>IFERROR(VLOOKUP(H$4,'Long stay'!$BB$4:$BJ$17,9,FALSE),"")</f>
        <v>3453</v>
      </c>
      <c r="I102" s="134">
        <f>IFERROR(VLOOKUP(I$4,'Long stay'!$BB$4:$BJ$17,9,FALSE),"")</f>
        <v>3681.1428571428573</v>
      </c>
      <c r="J102" s="134">
        <f>IFERROR(VLOOKUP(J$4,'Long stay'!$BB$4:$BJ$17,9,FALSE),"")</f>
        <v>3613</v>
      </c>
      <c r="K102" s="134">
        <f>IFERROR(VLOOKUP(K$4,'Long stay'!$BB$4:$BJ$17,9,FALSE),"")</f>
        <v>3380.1428571428573</v>
      </c>
      <c r="L102" s="134">
        <f>IFERROR(VLOOKUP(L$4,'Long stay'!$BB$4:$BJ$17,9,FALSE),"")</f>
        <v>3222.4285714285716</v>
      </c>
      <c r="M102" s="134">
        <f>IFERROR(VLOOKUP(M$4,'Long stay'!$BB$4:$BJ$17,9,FALSE),"")</f>
        <v>3225</v>
      </c>
      <c r="N102" s="134">
        <f>IFERROR(VLOOKUP(N$4,'Long stay'!$BB$4:$BJ$17,9,FALSE),"")</f>
        <v>3228.8571428571427</v>
      </c>
      <c r="O102" s="134">
        <f>IFERROR(VLOOKUP(O$4,'Long stay'!$BB$4:$BJ$17,9,FALSE),"")</f>
        <v>3237.1428571428573</v>
      </c>
      <c r="P102" s="134">
        <f>IFERROR(VLOOKUP(P$4,'Long stay'!$BB$4:$BJ$17,9,FALSE),"")</f>
        <v>3225</v>
      </c>
      <c r="Q102" s="79" t="str">
        <f>IFERROR(VLOOKUP(Q$4,'Long stay'!$AF$4:$AM$18,5,FALSE),"")</f>
        <v/>
      </c>
      <c r="Z102" s="160"/>
      <c r="AA102" s="160"/>
      <c r="AB102" s="160"/>
      <c r="AC102" s="160"/>
    </row>
    <row r="103" spans="2:32" x14ac:dyDescent="0.35">
      <c r="B103" s="162"/>
      <c r="C103" s="1" t="s">
        <v>223</v>
      </c>
      <c r="D103" s="134">
        <f>IFERROR(VLOOKUP(D$4,'Long stay'!$BB$4:$BJ$17,6,FALSE),"")</f>
        <v>2559.8571428571427</v>
      </c>
      <c r="E103" s="134">
        <f>IFERROR(VLOOKUP(E$4,'Long stay'!$BB$4:$BJ$17,6,FALSE),"")</f>
        <v>2610.5714285714284</v>
      </c>
      <c r="F103" s="134">
        <f>IFERROR(VLOOKUP(F$4,'Long stay'!$BB$4:$BJ$17,6,FALSE),"")</f>
        <v>2628</v>
      </c>
      <c r="G103" s="134">
        <f>IFERROR(VLOOKUP(G$4,'Long stay'!$BB$4:$BJ$17,6,FALSE),"")</f>
        <v>2617</v>
      </c>
      <c r="H103" s="134">
        <f>IFERROR(VLOOKUP(H$4,'Long stay'!$BB$4:$BJ$17,6,FALSE),"")</f>
        <v>2662.4285714285716</v>
      </c>
      <c r="I103" s="134">
        <f>IFERROR(VLOOKUP(I$4,'Long stay'!$BB$4:$BJ$17,6,FALSE),"")</f>
        <v>2766.7142857142858</v>
      </c>
      <c r="J103" s="134">
        <f>IFERROR(VLOOKUP(J$4,'Long stay'!$BB$4:$BJ$17,6,FALSE),"")</f>
        <v>2638</v>
      </c>
      <c r="K103" s="134">
        <f>IFERROR(VLOOKUP(K$4,'Long stay'!$BB$4:$BJ$17,6,FALSE),"")</f>
        <v>2643.7142857142858</v>
      </c>
      <c r="L103" s="134">
        <f>IFERROR(VLOOKUP(L$4,'Long stay'!$BB$4:$BJ$17,6,FALSE),"")</f>
        <v>2660.8571428571427</v>
      </c>
      <c r="M103" s="134">
        <f>IFERROR(VLOOKUP(M$4,'Long stay'!$BB$4:$BJ$17,6,FALSE),"")</f>
        <v>2728.1428571428573</v>
      </c>
      <c r="N103" s="134">
        <f>IFERROR(VLOOKUP(N$4,'Long stay'!$BB$4:$BJ$17,6,FALSE),"")</f>
        <v>2629.4285714285716</v>
      </c>
      <c r="O103" s="134">
        <f>IFERROR(VLOOKUP(O$4,'Long stay'!$BB$4:$BJ$17,6,FALSE),"")</f>
        <v>2687.8571428571427</v>
      </c>
      <c r="P103" s="134">
        <f>IFERROR(VLOOKUP(P$4,'Long stay'!$BB$4:$BJ$17,6,FALSE),"")</f>
        <v>2606.8571428571427</v>
      </c>
      <c r="Q103" s="79" t="str">
        <f>IFERROR(VLOOKUP(Q$4,'Long stay'!$AF$4:$AM$18,6,FALSE),"")</f>
        <v/>
      </c>
      <c r="Z103" s="49"/>
      <c r="AA103" s="49"/>
      <c r="AB103" s="49"/>
      <c r="AC103" s="49"/>
    </row>
    <row r="104" spans="2:32" x14ac:dyDescent="0.35">
      <c r="B104" s="162"/>
      <c r="C104" s="11" t="s">
        <v>224</v>
      </c>
      <c r="D104" s="134">
        <f>IFERROR(VLOOKUP(D$4,'Long stay'!$BB$4:$BJ$17,7,FALSE),"")</f>
        <v>1870.2857142857142</v>
      </c>
      <c r="E104" s="134">
        <f>IFERROR(VLOOKUP(E$4,'Long stay'!$BB$4:$BJ$17,7,FALSE),"")</f>
        <v>1870.2857142857142</v>
      </c>
      <c r="F104" s="134">
        <f>IFERROR(VLOOKUP(F$4,'Long stay'!$BB$4:$BJ$17,7,FALSE),"")</f>
        <v>1924</v>
      </c>
      <c r="G104" s="134">
        <f>IFERROR(VLOOKUP(G$4,'Long stay'!$BB$4:$BJ$17,7,FALSE),"")</f>
        <v>1976.1428571428571</v>
      </c>
      <c r="H104" s="134">
        <f>IFERROR(VLOOKUP(H$4,'Long stay'!$BB$4:$BJ$17,7,FALSE),"")</f>
        <v>2095.1428571428573</v>
      </c>
      <c r="I104" s="134">
        <f>IFERROR(VLOOKUP(I$4,'Long stay'!$BB$4:$BJ$17,7,FALSE),"")</f>
        <v>2130.4285714285716</v>
      </c>
      <c r="J104" s="134">
        <f>IFERROR(VLOOKUP(J$4,'Long stay'!$BB$4:$BJ$17,7,FALSE),"")</f>
        <v>2075.4285714285716</v>
      </c>
      <c r="K104" s="134">
        <f>IFERROR(VLOOKUP(K$4,'Long stay'!$BB$4:$BJ$17,7,FALSE),"")</f>
        <v>2001.1428571428571</v>
      </c>
      <c r="L104" s="134">
        <f>IFERROR(VLOOKUP(L$4,'Long stay'!$BB$4:$BJ$17,7,FALSE),"")</f>
        <v>1937.4285714285713</v>
      </c>
      <c r="M104" s="134">
        <f>IFERROR(VLOOKUP(M$4,'Long stay'!$BB$4:$BJ$17,7,FALSE),"")</f>
        <v>1958.8571428571429</v>
      </c>
      <c r="N104" s="134">
        <f>IFERROR(VLOOKUP(N$4,'Long stay'!$BB$4:$BJ$17,7,FALSE),"")</f>
        <v>1940.7142857142858</v>
      </c>
      <c r="O104" s="134">
        <f>IFERROR(VLOOKUP(O$4,'Long stay'!$BB$4:$BJ$17,7,FALSE),"")</f>
        <v>1906</v>
      </c>
      <c r="P104" s="134">
        <f>IFERROR(VLOOKUP(P$4,'Long stay'!$BB$4:$BJ$17,7,FALSE),"")</f>
        <v>1835.5714285714287</v>
      </c>
      <c r="Q104" s="79" t="str">
        <f>IFERROR(VLOOKUP(Q$4,'Long stay'!$AF$4:$AM$18,7,FALSE),"")</f>
        <v/>
      </c>
      <c r="Z104" s="103"/>
      <c r="AA104" s="103"/>
      <c r="AB104" s="103"/>
      <c r="AC104" s="49"/>
    </row>
    <row r="105" spans="2:32" x14ac:dyDescent="0.35">
      <c r="B105" s="162"/>
      <c r="C105" s="39" t="s">
        <v>10</v>
      </c>
      <c r="D105" s="123">
        <v>14924.714285714286</v>
      </c>
      <c r="E105" s="123">
        <v>14588.571428571429</v>
      </c>
      <c r="F105" s="123">
        <v>13976.857142857143</v>
      </c>
      <c r="G105" s="123">
        <v>14105.857142857143</v>
      </c>
      <c r="H105" s="123">
        <v>15564.142857142857</v>
      </c>
      <c r="I105" s="123">
        <v>16009.142857142857</v>
      </c>
      <c r="J105" s="123">
        <v>15653.428571428571</v>
      </c>
      <c r="K105" s="123">
        <v>15549.857142857143</v>
      </c>
      <c r="L105" s="123">
        <v>15636.714285714286</v>
      </c>
      <c r="M105" s="123">
        <v>15513.285714285714</v>
      </c>
      <c r="N105" s="123">
        <v>15632.285714285714</v>
      </c>
      <c r="O105" s="123">
        <v>15644.285714285714</v>
      </c>
      <c r="P105" s="123">
        <v>16095.714285714286</v>
      </c>
      <c r="Z105" s="49"/>
      <c r="AA105" s="49"/>
      <c r="AB105" s="49"/>
      <c r="AC105" s="49"/>
    </row>
    <row r="106" spans="2:32" x14ac:dyDescent="0.35">
      <c r="B106" s="162"/>
      <c r="C106" s="1" t="s">
        <v>252</v>
      </c>
      <c r="D106" s="129">
        <v>15383.714285714286</v>
      </c>
      <c r="E106" s="129">
        <v>15362</v>
      </c>
      <c r="F106" s="129">
        <v>15044.857142857143</v>
      </c>
      <c r="G106" s="129">
        <v>14660.571428571429</v>
      </c>
      <c r="H106" s="129">
        <v>16412.857142857141</v>
      </c>
      <c r="I106" s="129">
        <v>17087</v>
      </c>
      <c r="J106" s="129">
        <v>16828.142857142859</v>
      </c>
      <c r="K106" s="129">
        <v>16632.428571428572</v>
      </c>
      <c r="L106" s="129">
        <v>16630.857142857141</v>
      </c>
      <c r="M106" s="129">
        <v>16398.714285714286</v>
      </c>
      <c r="N106" s="129">
        <v>16455.142857142859</v>
      </c>
      <c r="O106" s="129">
        <v>16353.285714285714</v>
      </c>
      <c r="P106" s="129">
        <v>16204.714285714286</v>
      </c>
      <c r="Z106" s="49"/>
      <c r="AA106" s="49"/>
      <c r="AB106" s="49"/>
      <c r="AC106" s="49"/>
      <c r="AE106" s="3"/>
      <c r="AF106" s="3"/>
    </row>
    <row r="107" spans="2:32" ht="7.5" customHeight="1" x14ac:dyDescent="0.35">
      <c r="B107" s="162"/>
      <c r="C107" s="39"/>
      <c r="Z107" s="49"/>
      <c r="AA107" s="49"/>
      <c r="AB107" s="49"/>
      <c r="AC107" s="49"/>
    </row>
    <row r="108" spans="2:32" x14ac:dyDescent="0.35">
      <c r="B108" s="162"/>
      <c r="C108" s="16" t="s">
        <v>294</v>
      </c>
      <c r="D108" s="60">
        <f>IFERROR(VLOOKUP(D$4,'Long stay'!$AF$4:$AN$17,2,FALSE),"")</f>
        <v>11336</v>
      </c>
      <c r="E108" s="106">
        <f>IFERROR(VLOOKUP(E$4,'Long stay'!$AF$4:$AN$17,2,FALSE),"")</f>
        <v>11411.142857142857</v>
      </c>
      <c r="F108" s="106">
        <f>IFERROR(VLOOKUP(F$4,'Long stay'!$AF$4:$AN$17,2,FALSE),"")</f>
        <v>11401.142857142857</v>
      </c>
      <c r="G108" s="106">
        <f>IFERROR(VLOOKUP(G$4,'Long stay'!$AF$4:$AN$17,2,FALSE),"")</f>
        <v>11233.285714285714</v>
      </c>
      <c r="H108" s="106">
        <f>IFERROR(VLOOKUP(H$4,'Long stay'!$AF$4:$AN$17,2,FALSE),"")</f>
        <v>11928.142857142857</v>
      </c>
      <c r="I108" s="106">
        <f>IFERROR(VLOOKUP(I$4,'Long stay'!$AF$4:$AN$17,2,FALSE),"")</f>
        <v>12541</v>
      </c>
      <c r="J108" s="106">
        <f>IFERROR(VLOOKUP(J$4,'Long stay'!$AF$4:$AN$17,2,FALSE),"")</f>
        <v>11895.571428571429</v>
      </c>
      <c r="K108" s="106">
        <f>IFERROR(VLOOKUP(K$4,'Long stay'!$AF$4:$AN$17,2,FALSE),"")</f>
        <v>11374</v>
      </c>
      <c r="L108" s="106">
        <f>IFERROR(VLOOKUP(L$4,'Long stay'!$AF$4:$AN$17,2,FALSE),"")</f>
        <v>11252.428571428571</v>
      </c>
      <c r="M108" s="106">
        <f>IFERROR(VLOOKUP(M$4,'Long stay'!$AF$4:$AN$17,2,FALSE),"")</f>
        <v>11406.285714285714</v>
      </c>
      <c r="N108" s="106">
        <f>IFERROR(VLOOKUP(N$4,'Long stay'!$AF$4:$AN$17,2,FALSE),"")</f>
        <v>11559</v>
      </c>
      <c r="O108" s="106">
        <f>IFERROR(VLOOKUP(O$4,'Long stay'!$AF$4:$AN$17,2,FALSE),"")</f>
        <v>11585.285714285714</v>
      </c>
      <c r="P108" s="106">
        <f>IFERROR(VLOOKUP(P$4,'Long stay'!$AF$4:$AN$17,2,FALSE),"")</f>
        <v>11560.428571428571</v>
      </c>
      <c r="Q108" s="78" t="str">
        <f>IFERROR(VLOOKUP(Q$4,'Long stay'!$AF$4:$AM$18,2,FALSE),"")</f>
        <v/>
      </c>
      <c r="Z108" s="49"/>
      <c r="AA108" s="49"/>
      <c r="AB108" s="49"/>
      <c r="AC108" s="49"/>
    </row>
    <row r="109" spans="2:32" x14ac:dyDescent="0.35">
      <c r="B109" s="162"/>
      <c r="C109" s="1" t="s">
        <v>1</v>
      </c>
      <c r="D109" s="134">
        <f>IFERROR(VLOOKUP(D$4,'Long stay'!$AF$4:$AN$17,3,FALSE),"")</f>
        <v>1721.1428571428571</v>
      </c>
      <c r="E109" s="134">
        <f>IFERROR(VLOOKUP(E$4,'Long stay'!$AF$4:$AN$17,3,FALSE),"")</f>
        <v>1742</v>
      </c>
      <c r="F109" s="134">
        <f>IFERROR(VLOOKUP(F$4,'Long stay'!$AF$4:$AN$17,3,FALSE),"")</f>
        <v>1770.5714285714287</v>
      </c>
      <c r="G109" s="134">
        <f>IFERROR(VLOOKUP(G$4,'Long stay'!$AF$4:$AN$17,3,FALSE),"")</f>
        <v>1752.2857142857142</v>
      </c>
      <c r="H109" s="134">
        <f>IFERROR(VLOOKUP(H$4,'Long stay'!$AF$4:$AN$17,3,FALSE),"")</f>
        <v>1753.5714285714287</v>
      </c>
      <c r="I109" s="134">
        <f>IFERROR(VLOOKUP(I$4,'Long stay'!$AF$4:$AN$17,3,FALSE),"")</f>
        <v>1745.1428571428571</v>
      </c>
      <c r="J109" s="134">
        <f>IFERROR(VLOOKUP(J$4,'Long stay'!$AF$4:$AN$17,3,FALSE),"")</f>
        <v>1611</v>
      </c>
      <c r="K109" s="134">
        <f>IFERROR(VLOOKUP(K$4,'Long stay'!$AF$4:$AN$17,3,FALSE),"")</f>
        <v>1511.8571428571429</v>
      </c>
      <c r="L109" s="134">
        <f>IFERROR(VLOOKUP(L$4,'Long stay'!$AF$4:$AN$17,3,FALSE),"")</f>
        <v>1571</v>
      </c>
      <c r="M109" s="134">
        <f>IFERROR(VLOOKUP(M$4,'Long stay'!$AF$4:$AN$17,3,FALSE),"")</f>
        <v>1691.8571428571429</v>
      </c>
      <c r="N109" s="134">
        <f>IFERROR(VLOOKUP(N$4,'Long stay'!$AF$4:$AN$17,3,FALSE),"")</f>
        <v>1779.7142857142858</v>
      </c>
      <c r="O109" s="134">
        <f>IFERROR(VLOOKUP(O$4,'Long stay'!$AF$4:$AN$17,3,FALSE),"")</f>
        <v>1821.5714285714287</v>
      </c>
      <c r="P109" s="134">
        <f>IFERROR(VLOOKUP(P$4,'Long stay'!$AF$4:$AN$17,3,FALSE),"")</f>
        <v>1829.5714285714287</v>
      </c>
      <c r="Q109" s="79" t="str">
        <f>IFERROR(VLOOKUP(Q$4,'Long stay'!$AF$4:$AM$18,3,FALSE),"")</f>
        <v/>
      </c>
      <c r="Z109" s="49"/>
      <c r="AA109" s="49"/>
      <c r="AB109" s="49"/>
      <c r="AC109" s="49"/>
    </row>
    <row r="110" spans="2:32" x14ac:dyDescent="0.35">
      <c r="B110" s="162"/>
      <c r="C110" s="1" t="s">
        <v>226</v>
      </c>
      <c r="D110" s="134">
        <f>IFERROR(VLOOKUP(D$4,'Long stay'!$AF$4:$AN$17,4,FALSE),"")</f>
        <v>1784.1428571428571</v>
      </c>
      <c r="E110" s="134">
        <f>IFERROR(VLOOKUP(E$4,'Long stay'!$AF$4:$AN$17,4,FALSE),"")</f>
        <v>1831.5714285714287</v>
      </c>
      <c r="F110" s="134">
        <f>IFERROR(VLOOKUP(F$4,'Long stay'!$AF$4:$AN$17,4,FALSE),"")</f>
        <v>1826.2857142857142</v>
      </c>
      <c r="G110" s="134">
        <f>IFERROR(VLOOKUP(G$4,'Long stay'!$AF$4:$AN$17,4,FALSE),"")</f>
        <v>1858.2857142857142</v>
      </c>
      <c r="H110" s="134">
        <f>IFERROR(VLOOKUP(H$4,'Long stay'!$AF$4:$AN$17,4,FALSE),"")</f>
        <v>2020.1428571428571</v>
      </c>
      <c r="I110" s="134">
        <f>IFERROR(VLOOKUP(I$4,'Long stay'!$AF$4:$AN$17,4,FALSE),"")</f>
        <v>2117.8571428571427</v>
      </c>
      <c r="J110" s="134">
        <f>IFERROR(VLOOKUP(J$4,'Long stay'!$AF$4:$AN$17,4,FALSE),"")</f>
        <v>2038.2857142857142</v>
      </c>
      <c r="K110" s="134">
        <f>IFERROR(VLOOKUP(K$4,'Long stay'!$AF$4:$AN$17,4,FALSE),"")</f>
        <v>1987</v>
      </c>
      <c r="L110" s="134">
        <f>IFERROR(VLOOKUP(L$4,'Long stay'!$AF$4:$AN$17,4,FALSE),"")</f>
        <v>1966.5714285714287</v>
      </c>
      <c r="M110" s="134">
        <f>IFERROR(VLOOKUP(M$4,'Long stay'!$AF$4:$AN$17,4,FALSE),"")</f>
        <v>1928.2857142857142</v>
      </c>
      <c r="N110" s="134">
        <f>IFERROR(VLOOKUP(N$4,'Long stay'!$AF$4:$AN$17,4,FALSE),"")</f>
        <v>1980.7142857142858</v>
      </c>
      <c r="O110" s="134">
        <f>IFERROR(VLOOKUP(O$4,'Long stay'!$AF$4:$AN$17,4,FALSE),"")</f>
        <v>1966.2857142857142</v>
      </c>
      <c r="P110" s="134">
        <f>IFERROR(VLOOKUP(P$4,'Long stay'!$AF$4:$AN$17,4,FALSE),"")</f>
        <v>1956.7142857142858</v>
      </c>
      <c r="Q110" s="79" t="str">
        <f>IFERROR(VLOOKUP(Q$4,'Long stay'!$AF$4:$AM$18,4,FALSE),"")</f>
        <v/>
      </c>
      <c r="Z110" s="49"/>
      <c r="AA110" s="49"/>
      <c r="AB110" s="49"/>
      <c r="AC110" s="49"/>
    </row>
    <row r="111" spans="2:32" x14ac:dyDescent="0.35">
      <c r="B111" s="162"/>
      <c r="C111" s="1" t="s">
        <v>253</v>
      </c>
      <c r="D111" s="134">
        <f>IFERROR(VLOOKUP(D$4,'Long stay'!$AF$4:$AN$17,8,FALSE),"")</f>
        <v>1078.1428571428571</v>
      </c>
      <c r="E111" s="134">
        <f>IFERROR(VLOOKUP(E$4,'Long stay'!$AF$4:$AN$17,8,FALSE),"")</f>
        <v>1074.2857142857142</v>
      </c>
      <c r="F111" s="134">
        <f>IFERROR(VLOOKUP(F$4,'Long stay'!$AF$4:$AN$17,8,FALSE),"")</f>
        <v>1091</v>
      </c>
      <c r="G111" s="134">
        <f>IFERROR(VLOOKUP(G$4,'Long stay'!$AF$4:$AN$17,8,FALSE),"")</f>
        <v>1100.2857142857142</v>
      </c>
      <c r="H111" s="134">
        <f>IFERROR(VLOOKUP(H$4,'Long stay'!$AF$4:$AN$17,8,FALSE),"")</f>
        <v>1220.4285714285713</v>
      </c>
      <c r="I111" s="134">
        <f>IFERROR(VLOOKUP(I$4,'Long stay'!$AF$4:$AN$17,8,FALSE),"")</f>
        <v>1282</v>
      </c>
      <c r="J111" s="134">
        <f>IFERROR(VLOOKUP(J$4,'Long stay'!$AF$4:$AN$17,8,FALSE),"")</f>
        <v>1184</v>
      </c>
      <c r="K111" s="134">
        <f>IFERROR(VLOOKUP(K$4,'Long stay'!$AF$4:$AN$17,8,FALSE),"")</f>
        <v>1088.4285714285713</v>
      </c>
      <c r="L111" s="134">
        <f>IFERROR(VLOOKUP(L$4,'Long stay'!$AF$4:$AN$17,8,FALSE),"")</f>
        <v>1084.5714285714287</v>
      </c>
      <c r="M111" s="134">
        <f>IFERROR(VLOOKUP(M$4,'Long stay'!$AF$4:$AN$17,8,FALSE),"")</f>
        <v>1097.2857142857142</v>
      </c>
      <c r="N111" s="134">
        <f>IFERROR(VLOOKUP(N$4,'Long stay'!$AF$4:$AN$17,8,FALSE),"")</f>
        <v>1072.8571428571429</v>
      </c>
      <c r="O111" s="134">
        <f>IFERROR(VLOOKUP(O$4,'Long stay'!$AF$4:$AN$17,8,FALSE),"")</f>
        <v>1039.2857142857142</v>
      </c>
      <c r="P111" s="134">
        <f>IFERROR(VLOOKUP(P$4,'Long stay'!$AF$4:$AN$17,8,FALSE),"")</f>
        <v>1034</v>
      </c>
      <c r="Q111" s="79"/>
      <c r="Z111" s="108"/>
      <c r="AA111" s="108"/>
      <c r="AB111" s="108"/>
      <c r="AC111" s="108"/>
    </row>
    <row r="112" spans="2:32" x14ac:dyDescent="0.35">
      <c r="B112" s="162"/>
      <c r="C112" s="1" t="s">
        <v>254</v>
      </c>
      <c r="D112" s="134">
        <f>IFERROR(VLOOKUP(D$4,'Long stay'!$AF$4:$AN$17,5,FALSE),"")</f>
        <v>1910.2857142857142</v>
      </c>
      <c r="E112" s="134">
        <f>IFERROR(VLOOKUP(E$4,'Long stay'!$AF$4:$AN$17,5,FALSE),"")</f>
        <v>1946</v>
      </c>
      <c r="F112" s="134">
        <f>IFERROR(VLOOKUP(F$4,'Long stay'!$AF$4:$AN$17,5,FALSE),"")</f>
        <v>1957.1428571428571</v>
      </c>
      <c r="G112" s="134">
        <f>IFERROR(VLOOKUP(G$4,'Long stay'!$AF$4:$AN$17,5,FALSE),"")</f>
        <v>1852.5714285714287</v>
      </c>
      <c r="H112" s="134">
        <f>IFERROR(VLOOKUP(H$4,'Long stay'!$AF$4:$AN$17,5,FALSE),"")</f>
        <v>1956</v>
      </c>
      <c r="I112" s="134">
        <f>IFERROR(VLOOKUP(I$4,'Long stay'!$AF$4:$AN$17,5,FALSE),"")</f>
        <v>2121.1428571428573</v>
      </c>
      <c r="J112" s="134">
        <f>IFERROR(VLOOKUP(J$4,'Long stay'!$AF$4:$AN$17,5,FALSE),"")</f>
        <v>1995.2857142857142</v>
      </c>
      <c r="K112" s="134">
        <f>IFERROR(VLOOKUP(K$4,'Long stay'!$AF$4:$AN$17,5,FALSE),"")</f>
        <v>1956.8571428571429</v>
      </c>
      <c r="L112" s="134">
        <f>IFERROR(VLOOKUP(L$4,'Long stay'!$AF$4:$AN$17,5,FALSE),"")</f>
        <v>1971.5714285714287</v>
      </c>
      <c r="M112" s="134">
        <f>IFERROR(VLOOKUP(M$4,'Long stay'!$AF$4:$AN$17,5,FALSE),"")</f>
        <v>2011.2857142857142</v>
      </c>
      <c r="N112" s="134">
        <f>IFERROR(VLOOKUP(N$4,'Long stay'!$AF$4:$AN$17,5,FALSE),"")</f>
        <v>2056.8571428571427</v>
      </c>
      <c r="O112" s="134">
        <f>IFERROR(VLOOKUP(O$4,'Long stay'!$AF$4:$AN$17,5,FALSE),"")</f>
        <v>2038.1428571428571</v>
      </c>
      <c r="P112" s="134">
        <f>IFERROR(VLOOKUP(P$4,'Long stay'!$AF$4:$AN$17,5,FALSE),"")</f>
        <v>2030.8571428571429</v>
      </c>
      <c r="Q112" s="79"/>
      <c r="Z112" s="108"/>
      <c r="AA112" s="108"/>
      <c r="AB112" s="108"/>
      <c r="AC112" s="108"/>
    </row>
    <row r="113" spans="2:29" x14ac:dyDescent="0.35">
      <c r="B113" s="162"/>
      <c r="C113" s="1" t="s">
        <v>256</v>
      </c>
      <c r="D113" s="134">
        <f>IFERROR(VLOOKUP(D$4,'Long stay'!$AF$4:$AN$17,9,FALSE),"")</f>
        <v>2213.4285714285716</v>
      </c>
      <c r="E113" s="134">
        <f>IFERROR(VLOOKUP(E$4,'Long stay'!$AF$4:$AN$17,9,FALSE),"")</f>
        <v>2187.5714285714284</v>
      </c>
      <c r="F113" s="134">
        <f>IFERROR(VLOOKUP(F$4,'Long stay'!$AF$4:$AN$17,9,FALSE),"")</f>
        <v>2155.1428571428573</v>
      </c>
      <c r="G113" s="134">
        <f>IFERROR(VLOOKUP(G$4,'Long stay'!$AF$4:$AN$17,9,FALSE),"")</f>
        <v>2073.4285714285716</v>
      </c>
      <c r="H113" s="134">
        <f>IFERROR(VLOOKUP(H$4,'Long stay'!$AF$4:$AN$17,9,FALSE),"")</f>
        <v>2194</v>
      </c>
      <c r="I113" s="134">
        <f>IFERROR(VLOOKUP(I$4,'Long stay'!$AF$4:$AN$17,9,FALSE),"")</f>
        <v>2342.1428571428573</v>
      </c>
      <c r="J113" s="134">
        <f>IFERROR(VLOOKUP(J$4,'Long stay'!$AF$4:$AN$17,9,FALSE),"")</f>
        <v>2295</v>
      </c>
      <c r="K113" s="134">
        <f>IFERROR(VLOOKUP(K$4,'Long stay'!$AF$4:$AN$17,9,FALSE),"")</f>
        <v>2202</v>
      </c>
      <c r="L113" s="134">
        <f>IFERROR(VLOOKUP(L$4,'Long stay'!$AF$4:$AN$17,9,FALSE),"")</f>
        <v>2044</v>
      </c>
      <c r="M113" s="134">
        <f>IFERROR(VLOOKUP(M$4,'Long stay'!$AF$4:$AN$17,9,FALSE),"")</f>
        <v>2000.4285714285713</v>
      </c>
      <c r="N113" s="134">
        <f>IFERROR(VLOOKUP(N$4,'Long stay'!$AF$4:$AN$17,9,FALSE),"")</f>
        <v>2001.2857142857142</v>
      </c>
      <c r="O113" s="134">
        <f>IFERROR(VLOOKUP(O$4,'Long stay'!$AF$4:$AN$17,9,FALSE),"")</f>
        <v>2033</v>
      </c>
      <c r="P113" s="134">
        <f>IFERROR(VLOOKUP(P$4,'Long stay'!$AF$4:$AN$17,9,FALSE),"")</f>
        <v>2047.4285714285713</v>
      </c>
      <c r="Q113" s="79" t="str">
        <f>IFERROR(VLOOKUP(Q$4,'Long stay'!$AF$4:$AM$18,5,FALSE),"")</f>
        <v/>
      </c>
      <c r="Z113" s="49"/>
      <c r="AA113" s="49"/>
      <c r="AB113" s="49"/>
      <c r="AC113" s="49"/>
    </row>
    <row r="114" spans="2:29" x14ac:dyDescent="0.35">
      <c r="B114" s="162"/>
      <c r="C114" s="1" t="s">
        <v>223</v>
      </c>
      <c r="D114" s="134">
        <f>IFERROR(VLOOKUP(D$4,'Long stay'!$AF$4:$AN$17,6,FALSE),"")</f>
        <v>1512</v>
      </c>
      <c r="E114" s="134">
        <f>IFERROR(VLOOKUP(E$4,'Long stay'!$AF$4:$AN$17,6,FALSE),"")</f>
        <v>1502.4285714285713</v>
      </c>
      <c r="F114" s="134">
        <f>IFERROR(VLOOKUP(F$4,'Long stay'!$AF$4:$AN$17,6,FALSE),"")</f>
        <v>1487</v>
      </c>
      <c r="G114" s="134">
        <f>IFERROR(VLOOKUP(G$4,'Long stay'!$AF$4:$AN$17,6,FALSE),"")</f>
        <v>1457.8571428571429</v>
      </c>
      <c r="H114" s="134">
        <f>IFERROR(VLOOKUP(H$4,'Long stay'!$AF$4:$AN$17,6,FALSE),"")</f>
        <v>1526.5714285714287</v>
      </c>
      <c r="I114" s="134">
        <f>IFERROR(VLOOKUP(I$4,'Long stay'!$AF$4:$AN$17,6,FALSE),"")</f>
        <v>1615.1428571428571</v>
      </c>
      <c r="J114" s="134">
        <f>IFERROR(VLOOKUP(J$4,'Long stay'!$AF$4:$AN$17,6,FALSE),"")</f>
        <v>1530.4285714285713</v>
      </c>
      <c r="K114" s="134">
        <f>IFERROR(VLOOKUP(K$4,'Long stay'!$AF$4:$AN$17,6,FALSE),"")</f>
        <v>1451.2857142857142</v>
      </c>
      <c r="L114" s="134">
        <f>IFERROR(VLOOKUP(L$4,'Long stay'!$AF$4:$AN$17,6,FALSE),"")</f>
        <v>1484.4285714285713</v>
      </c>
      <c r="M114" s="134">
        <f>IFERROR(VLOOKUP(M$4,'Long stay'!$AF$4:$AN$17,6,FALSE),"")</f>
        <v>1527.1428571428571</v>
      </c>
      <c r="N114" s="134">
        <f>IFERROR(VLOOKUP(N$4,'Long stay'!$AF$4:$AN$17,6,FALSE),"")</f>
        <v>1523.5714285714287</v>
      </c>
      <c r="O114" s="134">
        <f>IFERROR(VLOOKUP(O$4,'Long stay'!$AF$4:$AN$17,6,FALSE),"")</f>
        <v>1538.8571428571429</v>
      </c>
      <c r="P114" s="134">
        <f>IFERROR(VLOOKUP(P$4,'Long stay'!$AF$4:$AN$17,6,FALSE),"")</f>
        <v>1560.7142857142858</v>
      </c>
      <c r="Q114" s="79" t="str">
        <f>IFERROR(VLOOKUP(Q$4,'Long stay'!$AF$4:$AM$18,6,FALSE),"")</f>
        <v/>
      </c>
      <c r="Z114" s="49"/>
      <c r="AA114" s="49"/>
      <c r="AB114" s="49"/>
      <c r="AC114" s="49"/>
    </row>
    <row r="115" spans="2:29" x14ac:dyDescent="0.35">
      <c r="B115" s="162"/>
      <c r="C115" s="11" t="s">
        <v>224</v>
      </c>
      <c r="D115" s="134">
        <f>IFERROR(VLOOKUP(D$4,'Long stay'!$AF$4:$AN$17,7,FALSE),"")</f>
        <v>1116.8571428571429</v>
      </c>
      <c r="E115" s="134">
        <f>IFERROR(VLOOKUP(E$4,'Long stay'!$AF$4:$AN$17,7,FALSE),"")</f>
        <v>1127.2857142857142</v>
      </c>
      <c r="F115" s="134">
        <f>IFERROR(VLOOKUP(F$4,'Long stay'!$AF$4:$AN$17,7,FALSE),"")</f>
        <v>1114</v>
      </c>
      <c r="G115" s="134">
        <f>IFERROR(VLOOKUP(G$4,'Long stay'!$AF$4:$AN$17,7,FALSE),"")</f>
        <v>1138.5714285714287</v>
      </c>
      <c r="H115" s="134">
        <f>IFERROR(VLOOKUP(H$4,'Long stay'!$AF$4:$AN$17,7,FALSE),"")</f>
        <v>1257.4285714285713</v>
      </c>
      <c r="I115" s="134">
        <f>IFERROR(VLOOKUP(I$4,'Long stay'!$AF$4:$AN$17,7,FALSE),"")</f>
        <v>1317.5714285714287</v>
      </c>
      <c r="J115" s="134">
        <f>IFERROR(VLOOKUP(J$4,'Long stay'!$AF$4:$AN$17,7,FALSE),"")</f>
        <v>1241.5714285714287</v>
      </c>
      <c r="K115" s="134">
        <f>IFERROR(VLOOKUP(K$4,'Long stay'!$AF$4:$AN$17,7,FALSE),"")</f>
        <v>1176.5714285714287</v>
      </c>
      <c r="L115" s="134">
        <f>IFERROR(VLOOKUP(L$4,'Long stay'!$AF$4:$AN$17,7,FALSE),"")</f>
        <v>1130.2857142857142</v>
      </c>
      <c r="M115" s="134">
        <f>IFERROR(VLOOKUP(M$4,'Long stay'!$AF$4:$AN$17,7,FALSE),"")</f>
        <v>1150</v>
      </c>
      <c r="N115" s="134">
        <f>IFERROR(VLOOKUP(N$4,'Long stay'!$AF$4:$AN$17,7,FALSE),"")</f>
        <v>1144</v>
      </c>
      <c r="O115" s="134">
        <f>IFERROR(VLOOKUP(O$4,'Long stay'!$AF$4:$AN$17,7,FALSE),"")</f>
        <v>1148.1428571428571</v>
      </c>
      <c r="P115" s="134">
        <f>IFERROR(VLOOKUP(P$4,'Long stay'!$AF$4:$AN$17,7,FALSE),"")</f>
        <v>1101.1428571428571</v>
      </c>
      <c r="Q115" s="79" t="str">
        <f>IFERROR(VLOOKUP(Q$4,'Long stay'!$AF$4:$AM$18,7,FALSE),"")</f>
        <v/>
      </c>
      <c r="Z115" s="49"/>
      <c r="AA115" s="49"/>
      <c r="AB115" s="49"/>
      <c r="AC115" s="49"/>
    </row>
    <row r="116" spans="2:29" ht="30" customHeight="1" x14ac:dyDescent="0.35">
      <c r="C116" s="1"/>
      <c r="D116" s="57"/>
      <c r="E116" s="57"/>
      <c r="F116" s="57"/>
      <c r="G116" s="57"/>
      <c r="H116" s="57"/>
      <c r="I116" s="57"/>
      <c r="J116" s="57"/>
      <c r="K116" s="57"/>
      <c r="L116" s="57"/>
      <c r="M116" s="57"/>
      <c r="N116" s="57"/>
      <c r="O116" s="57"/>
      <c r="P116" s="57"/>
      <c r="Q116" s="57"/>
      <c r="R116" s="42"/>
    </row>
    <row r="117" spans="2:29" ht="15" customHeight="1" x14ac:dyDescent="0.35">
      <c r="B117" s="162" t="s">
        <v>12</v>
      </c>
      <c r="C117" s="13" t="s">
        <v>13</v>
      </c>
      <c r="D117" s="123">
        <v>493.57142857142856</v>
      </c>
      <c r="E117" s="123">
        <v>372.85714285714283</v>
      </c>
      <c r="F117" s="123">
        <v>510.85714285714283</v>
      </c>
      <c r="G117" s="123">
        <v>504.28571428571428</v>
      </c>
      <c r="H117" s="123">
        <v>397.85714285714283</v>
      </c>
      <c r="I117" s="123">
        <v>616.85714285714289</v>
      </c>
      <c r="J117" s="123">
        <v>566.71428571428567</v>
      </c>
      <c r="K117" s="123">
        <v>530</v>
      </c>
      <c r="L117" s="123">
        <v>708.85714285714289</v>
      </c>
      <c r="M117" s="123">
        <v>652.85714285714289</v>
      </c>
      <c r="N117" s="123">
        <v>628.42857142857144</v>
      </c>
      <c r="O117" s="123">
        <v>557.14285714285711</v>
      </c>
      <c r="P117" s="123">
        <v>683.57142857142856</v>
      </c>
      <c r="Z117" s="163" t="s">
        <v>29</v>
      </c>
      <c r="AA117" s="163"/>
      <c r="AB117" s="163"/>
      <c r="AC117" s="163"/>
    </row>
    <row r="118" spans="2:29" ht="15" customHeight="1" x14ac:dyDescent="0.35">
      <c r="B118" s="162"/>
      <c r="C118" s="1" t="s">
        <v>252</v>
      </c>
      <c r="D118" s="129">
        <v>1025.7142857142858</v>
      </c>
      <c r="E118" s="129">
        <v>892.42857142857144</v>
      </c>
      <c r="F118" s="129">
        <v>799</v>
      </c>
      <c r="G118" s="129">
        <v>447.85714285714283</v>
      </c>
      <c r="H118" s="129">
        <v>554.57142857142856</v>
      </c>
      <c r="I118" s="129">
        <v>804.28571428571433</v>
      </c>
      <c r="J118" s="129">
        <v>626.71428571428567</v>
      </c>
      <c r="K118" s="129">
        <v>773.42857142857144</v>
      </c>
      <c r="L118" s="129">
        <v>775</v>
      </c>
      <c r="M118" s="129">
        <v>657</v>
      </c>
      <c r="N118" s="129">
        <v>578.57142857142856</v>
      </c>
      <c r="O118" s="129">
        <v>507</v>
      </c>
      <c r="P118" s="129">
        <v>608.14285714285711</v>
      </c>
      <c r="Z118" s="163"/>
      <c r="AA118" s="163"/>
      <c r="AB118" s="163"/>
      <c r="AC118" s="163"/>
    </row>
    <row r="119" spans="2:29" ht="7.5" customHeight="1" x14ac:dyDescent="0.35">
      <c r="B119" s="162"/>
      <c r="C119" s="1"/>
      <c r="Z119" s="163"/>
      <c r="AA119" s="163"/>
      <c r="AB119" s="163"/>
      <c r="AC119" s="163"/>
    </row>
    <row r="120" spans="2:29" x14ac:dyDescent="0.35">
      <c r="B120" s="162"/>
      <c r="C120" s="16" t="s">
        <v>294</v>
      </c>
      <c r="D120" s="60">
        <f>IFERROR(VLOOKUP(D$4,'D&amp;V'!$R$3:$Z$16,2,FALSE),"")</f>
        <v>58.285714285714285</v>
      </c>
      <c r="E120" s="111">
        <f>IFERROR(VLOOKUP(E$4,'D&amp;V'!$R$3:$Z$16,2,FALSE),"")</f>
        <v>49.857142857142854</v>
      </c>
      <c r="F120" s="111">
        <f>IFERROR(VLOOKUP(F$4,'D&amp;V'!$R$3:$Z$16,2,FALSE),"")</f>
        <v>68</v>
      </c>
      <c r="G120" s="111">
        <f>IFERROR(VLOOKUP(G$4,'D&amp;V'!$R$3:$Z$16,2,FALSE),"")</f>
        <v>45.714285714285715</v>
      </c>
      <c r="H120" s="111">
        <f>IFERROR(VLOOKUP(H$4,'D&amp;V'!$R$3:$Z$16,2,FALSE),"")</f>
        <v>49.714285714285715</v>
      </c>
      <c r="I120" s="111">
        <f>IFERROR(VLOOKUP(I$4,'D&amp;V'!$R$3:$Z$16,2,FALSE),"")</f>
        <v>76.428571428571431</v>
      </c>
      <c r="J120" s="111">
        <f>IFERROR(VLOOKUP(J$4,'D&amp;V'!$R$3:$Z$16,2,FALSE),"")</f>
        <v>21.571428571428573</v>
      </c>
      <c r="K120" s="111">
        <f>IFERROR(VLOOKUP(K$4,'D&amp;V'!$R$3:$Z$16,2,FALSE),"")</f>
        <v>17.428571428571427</v>
      </c>
      <c r="L120" s="111">
        <f>IFERROR(VLOOKUP(L$4,'D&amp;V'!$R$3:$Z$16,2,FALSE),"")</f>
        <v>28.142857142857142</v>
      </c>
      <c r="M120" s="111">
        <f>IFERROR(VLOOKUP(M$4,'D&amp;V'!$R$3:$Z$16,2,FALSE),"")</f>
        <v>35.714285714285715</v>
      </c>
      <c r="N120" s="111">
        <f>IFERROR(VLOOKUP(N$4,'D&amp;V'!$R$3:$Z$16,2,FALSE),"")</f>
        <v>26.714285714285715</v>
      </c>
      <c r="O120" s="111">
        <f>IFERROR(VLOOKUP(O$4,'D&amp;V'!$R$3:$Z$16,2,FALSE),"")</f>
        <v>23.714285714285715</v>
      </c>
      <c r="P120" s="111">
        <f>IFERROR(VLOOKUP(P$4,'D&amp;V'!$R$3:$Z$16,2,FALSE),"")</f>
        <v>26.285714285714285</v>
      </c>
      <c r="Q120" s="78" t="str">
        <f>IFERROR(VLOOKUP(Q$4,'D&amp;V'!$R$3:$Y$17,2,FALSE),"")</f>
        <v/>
      </c>
      <c r="Z120" s="163"/>
      <c r="AA120" s="163"/>
      <c r="AB120" s="163"/>
      <c r="AC120" s="163"/>
    </row>
    <row r="121" spans="2:29" x14ac:dyDescent="0.35">
      <c r="B121" s="162"/>
      <c r="C121" s="1" t="s">
        <v>1</v>
      </c>
      <c r="D121" s="134">
        <f>IFERROR(VLOOKUP(D$4,'D&amp;V'!$R$3:$Z$16,3,FALSE),"")</f>
        <v>14.428571428571429</v>
      </c>
      <c r="E121" s="134">
        <f>IFERROR(VLOOKUP(E$4,'D&amp;V'!$R$3:$Z$16,3,FALSE),"")</f>
        <v>3.2857142857142856</v>
      </c>
      <c r="F121" s="134">
        <f>IFERROR(VLOOKUP(F$4,'D&amp;V'!$R$3:$Z$16,3,FALSE),"")</f>
        <v>5.1428571428571432</v>
      </c>
      <c r="G121" s="134">
        <f>IFERROR(VLOOKUP(G$4,'D&amp;V'!$R$3:$Z$16,3,FALSE),"")</f>
        <v>11.142857142857142</v>
      </c>
      <c r="H121" s="134">
        <f>IFERROR(VLOOKUP(H$4,'D&amp;V'!$R$3:$Z$16,3,FALSE),"")</f>
        <v>7</v>
      </c>
      <c r="I121" s="134">
        <f>IFERROR(VLOOKUP(I$4,'D&amp;V'!$R$3:$Z$16,3,FALSE),"")</f>
        <v>2.1428571428571428</v>
      </c>
      <c r="J121" s="134">
        <f>IFERROR(VLOOKUP(J$4,'D&amp;V'!$R$3:$Z$16,3,FALSE),"")</f>
        <v>1.7142857142857142</v>
      </c>
      <c r="K121" s="134">
        <f>IFERROR(VLOOKUP(K$4,'D&amp;V'!$R$3:$Z$16,3,FALSE),"")</f>
        <v>0.8571428571428571</v>
      </c>
      <c r="L121" s="134">
        <f>IFERROR(VLOOKUP(L$4,'D&amp;V'!$R$3:$Z$16,3,FALSE),"")</f>
        <v>5.4285714285714288</v>
      </c>
      <c r="M121" s="134">
        <f>IFERROR(VLOOKUP(M$4,'D&amp;V'!$R$3:$Z$16,3,FALSE),"")</f>
        <v>1</v>
      </c>
      <c r="N121" s="134">
        <f>IFERROR(VLOOKUP(N$4,'D&amp;V'!$R$3:$Z$16,3,FALSE),"")</f>
        <v>1.5714285714285714</v>
      </c>
      <c r="O121" s="134">
        <f>IFERROR(VLOOKUP(O$4,'D&amp;V'!$R$3:$Z$16,3,FALSE),"")</f>
        <v>1.8571428571428572</v>
      </c>
      <c r="P121" s="134">
        <f>IFERROR(VLOOKUP(P$4,'D&amp;V'!$R$3:$Z$16,3,FALSE),"")</f>
        <v>2.8571428571428572</v>
      </c>
      <c r="Q121" s="79" t="str">
        <f>IFERROR(VLOOKUP(Q$4,'D&amp;V'!$R$3:$Y$17,3,FALSE),"")</f>
        <v/>
      </c>
      <c r="Z121" s="15"/>
      <c r="AA121" s="15"/>
      <c r="AB121" s="15"/>
      <c r="AC121" s="15"/>
    </row>
    <row r="122" spans="2:29" x14ac:dyDescent="0.35">
      <c r="B122" s="162"/>
      <c r="C122" s="1" t="s">
        <v>226</v>
      </c>
      <c r="D122" s="134">
        <f>IFERROR(VLOOKUP(D$4,'D&amp;V'!$R$3:$Z$16,4,FALSE),"")</f>
        <v>8.2857142857142865</v>
      </c>
      <c r="E122" s="134">
        <f>IFERROR(VLOOKUP(E$4,'D&amp;V'!$R$3:$Z$16,4,FALSE),"")</f>
        <v>11.285714285714286</v>
      </c>
      <c r="F122" s="134">
        <f>IFERROR(VLOOKUP(F$4,'D&amp;V'!$R$3:$Z$16,4,FALSE),"")</f>
        <v>3.1428571428571428</v>
      </c>
      <c r="G122" s="134">
        <f>IFERROR(VLOOKUP(G$4,'D&amp;V'!$R$3:$Z$16,4,FALSE),"")</f>
        <v>0.42857142857142855</v>
      </c>
      <c r="H122" s="134">
        <f>IFERROR(VLOOKUP(H$4,'D&amp;V'!$R$3:$Z$16,4,FALSE),"")</f>
        <v>7.2857142857142856</v>
      </c>
      <c r="I122" s="134">
        <f>IFERROR(VLOOKUP(I$4,'D&amp;V'!$R$3:$Z$16,4,FALSE),"")</f>
        <v>1.4285714285714286</v>
      </c>
      <c r="J122" s="134">
        <f>IFERROR(VLOOKUP(J$4,'D&amp;V'!$R$3:$Z$16,4,FALSE),"")</f>
        <v>0</v>
      </c>
      <c r="K122" s="134">
        <f>IFERROR(VLOOKUP(K$4,'D&amp;V'!$R$3:$Z$16,4,FALSE),"")</f>
        <v>3.4285714285714284</v>
      </c>
      <c r="L122" s="134">
        <f>IFERROR(VLOOKUP(L$4,'D&amp;V'!$R$3:$Z$16,4,FALSE),"")</f>
        <v>0.2857142857142857</v>
      </c>
      <c r="M122" s="134">
        <f>IFERROR(VLOOKUP(M$4,'D&amp;V'!$R$3:$Z$16,4,FALSE),"")</f>
        <v>0.2857142857142857</v>
      </c>
      <c r="N122" s="134">
        <f>IFERROR(VLOOKUP(N$4,'D&amp;V'!$R$3:$Z$16,4,FALSE),"")</f>
        <v>0.8571428571428571</v>
      </c>
      <c r="O122" s="134">
        <f>IFERROR(VLOOKUP(O$4,'D&amp;V'!$R$3:$Z$16,4,FALSE),"")</f>
        <v>0</v>
      </c>
      <c r="P122" s="134">
        <f>IFERROR(VLOOKUP(P$4,'D&amp;V'!$R$3:$Z$16,4,FALSE),"")</f>
        <v>0</v>
      </c>
      <c r="Q122" s="79" t="str">
        <f>IFERROR(VLOOKUP(Q$4,'D&amp;V'!$R$3:$Y$17,4,FALSE),"")</f>
        <v/>
      </c>
      <c r="Z122" s="160" t="s">
        <v>429</v>
      </c>
      <c r="AA122" s="160"/>
      <c r="AB122" s="160"/>
      <c r="AC122" s="160"/>
    </row>
    <row r="123" spans="2:29" x14ac:dyDescent="0.35">
      <c r="B123" s="162"/>
      <c r="C123" s="1" t="s">
        <v>253</v>
      </c>
      <c r="D123" s="134">
        <f>IFERROR(VLOOKUP(D$4,'D&amp;V'!$R$3:$Z$16,8,FALSE),"")</f>
        <v>3</v>
      </c>
      <c r="E123" s="134">
        <f>IFERROR(VLOOKUP(E$4,'D&amp;V'!$R$3:$Z$16,8,FALSE),"")</f>
        <v>0.8571428571428571</v>
      </c>
      <c r="F123" s="134">
        <f>IFERROR(VLOOKUP(F$4,'D&amp;V'!$R$3:$Z$16,8,FALSE),"")</f>
        <v>0</v>
      </c>
      <c r="G123" s="134">
        <f>IFERROR(VLOOKUP(G$4,'D&amp;V'!$R$3:$Z$16,8,FALSE),"")</f>
        <v>0</v>
      </c>
      <c r="H123" s="134">
        <f>IFERROR(VLOOKUP(H$4,'D&amp;V'!$R$3:$Z$16,8,FALSE),"")</f>
        <v>0.8571428571428571</v>
      </c>
      <c r="I123" s="134">
        <f>IFERROR(VLOOKUP(I$4,'D&amp;V'!$R$3:$Z$16,8,FALSE),"")</f>
        <v>0.8571428571428571</v>
      </c>
      <c r="J123" s="134">
        <f>IFERROR(VLOOKUP(J$4,'D&amp;V'!$R$3:$Z$16,8,FALSE),"")</f>
        <v>0</v>
      </c>
      <c r="K123" s="134">
        <f>IFERROR(VLOOKUP(K$4,'D&amp;V'!$R$3:$Z$16,8,FALSE),"")</f>
        <v>0</v>
      </c>
      <c r="L123" s="134">
        <f>IFERROR(VLOOKUP(L$4,'D&amp;V'!$R$3:$Z$16,8,FALSE),"")</f>
        <v>0</v>
      </c>
      <c r="M123" s="134">
        <f>IFERROR(VLOOKUP(M$4,'D&amp;V'!$R$3:$Z$16,8,FALSE),"")</f>
        <v>0</v>
      </c>
      <c r="N123" s="134">
        <f>IFERROR(VLOOKUP(N$4,'D&amp;V'!$R$3:$Z$16,8,FALSE),"")</f>
        <v>0</v>
      </c>
      <c r="O123" s="134">
        <f>IFERROR(VLOOKUP(O$4,'D&amp;V'!$R$3:$Z$16,8,FALSE),"")</f>
        <v>0</v>
      </c>
      <c r="P123" s="134">
        <f>IFERROR(VLOOKUP(P$4,'D&amp;V'!$R$3:$Z$16,8,FALSE),"")</f>
        <v>0</v>
      </c>
      <c r="Q123" s="79"/>
      <c r="Z123" s="160"/>
      <c r="AA123" s="160"/>
      <c r="AB123" s="160"/>
      <c r="AC123" s="160"/>
    </row>
    <row r="124" spans="2:29" x14ac:dyDescent="0.35">
      <c r="B124" s="162"/>
      <c r="C124" s="1" t="s">
        <v>254</v>
      </c>
      <c r="D124" s="134">
        <f>IFERROR(VLOOKUP(D$4,'D&amp;V'!$R$3:$Z$16,5,FALSE),"")</f>
        <v>12.285714285714286</v>
      </c>
      <c r="E124" s="134">
        <f>IFERROR(VLOOKUP(E$4,'D&amp;V'!$R$3:$Z$16,5,FALSE),"")</f>
        <v>18.428571428571427</v>
      </c>
      <c r="F124" s="134">
        <f>IFERROR(VLOOKUP(F$4,'D&amp;V'!$R$3:$Z$16,5,FALSE),"")</f>
        <v>33.714285714285715</v>
      </c>
      <c r="G124" s="134">
        <f>IFERROR(VLOOKUP(G$4,'D&amp;V'!$R$3:$Z$16,5,FALSE),"")</f>
        <v>10.857142857142858</v>
      </c>
      <c r="H124" s="134">
        <f>IFERROR(VLOOKUP(H$4,'D&amp;V'!$R$3:$Z$16,5,FALSE),"")</f>
        <v>9.8571428571428577</v>
      </c>
      <c r="I124" s="134">
        <f>IFERROR(VLOOKUP(I$4,'D&amp;V'!$R$3:$Z$16,5,FALSE),"")</f>
        <v>54.428571428571431</v>
      </c>
      <c r="J124" s="134">
        <f>IFERROR(VLOOKUP(J$4,'D&amp;V'!$R$3:$Z$16,5,FALSE),"")</f>
        <v>5.4285714285714288</v>
      </c>
      <c r="K124" s="134">
        <f>IFERROR(VLOOKUP(K$4,'D&amp;V'!$R$3:$Z$16,5,FALSE),"")</f>
        <v>6.8571428571428568</v>
      </c>
      <c r="L124" s="134">
        <f>IFERROR(VLOOKUP(L$4,'D&amp;V'!$R$3:$Z$16,5,FALSE),"")</f>
        <v>8.7142857142857135</v>
      </c>
      <c r="M124" s="134">
        <f>IFERROR(VLOOKUP(M$4,'D&amp;V'!$R$3:$Z$16,5,FALSE),"")</f>
        <v>15.571428571428571</v>
      </c>
      <c r="N124" s="134">
        <f>IFERROR(VLOOKUP(N$4,'D&amp;V'!$R$3:$Z$16,5,FALSE),"")</f>
        <v>13.142857142857142</v>
      </c>
      <c r="O124" s="134">
        <f>IFERROR(VLOOKUP(O$4,'D&amp;V'!$R$3:$Z$16,5,FALSE),"")</f>
        <v>11.428571428571429</v>
      </c>
      <c r="P124" s="134">
        <f>IFERROR(VLOOKUP(P$4,'D&amp;V'!$R$3:$Z$16,5,FALSE),"")</f>
        <v>10.142857142857142</v>
      </c>
      <c r="Q124" s="79"/>
      <c r="Z124" s="160"/>
      <c r="AA124" s="160"/>
      <c r="AB124" s="160"/>
      <c r="AC124" s="160"/>
    </row>
    <row r="125" spans="2:29" x14ac:dyDescent="0.35">
      <c r="B125" s="162"/>
      <c r="C125" s="1" t="s">
        <v>256</v>
      </c>
      <c r="D125" s="134">
        <f>IFERROR(VLOOKUP(D$4,'D&amp;V'!$R$3:$Z$16,9,FALSE),"")</f>
        <v>14.857142857142858</v>
      </c>
      <c r="E125" s="134">
        <f>IFERROR(VLOOKUP(E$4,'D&amp;V'!$R$3:$Z$16,9,FALSE),"")</f>
        <v>5.4285714285714288</v>
      </c>
      <c r="F125" s="134">
        <f>IFERROR(VLOOKUP(F$4,'D&amp;V'!$R$3:$Z$16,9,FALSE),"")</f>
        <v>10.857142857142858</v>
      </c>
      <c r="G125" s="134">
        <f>IFERROR(VLOOKUP(G$4,'D&amp;V'!$R$3:$Z$16,9,FALSE),"")</f>
        <v>4</v>
      </c>
      <c r="H125" s="134">
        <f>IFERROR(VLOOKUP(H$4,'D&amp;V'!$R$3:$Z$16,9,FALSE),"")</f>
        <v>8</v>
      </c>
      <c r="I125" s="134">
        <f>IFERROR(VLOOKUP(I$4,'D&amp;V'!$R$3:$Z$16,9,FALSE),"")</f>
        <v>9</v>
      </c>
      <c r="J125" s="134">
        <f>IFERROR(VLOOKUP(J$4,'D&amp;V'!$R$3:$Z$16,9,FALSE),"")</f>
        <v>5.7142857142857144</v>
      </c>
      <c r="K125" s="134">
        <f>IFERROR(VLOOKUP(K$4,'D&amp;V'!$R$3:$Z$16,9,FALSE),"")</f>
        <v>5.4285714285714288</v>
      </c>
      <c r="L125" s="134">
        <f>IFERROR(VLOOKUP(L$4,'D&amp;V'!$R$3:$Z$16,9,FALSE),"")</f>
        <v>9.4285714285714288</v>
      </c>
      <c r="M125" s="134">
        <f>IFERROR(VLOOKUP(M$4,'D&amp;V'!$R$3:$Z$16,9,FALSE),"")</f>
        <v>10</v>
      </c>
      <c r="N125" s="134">
        <f>IFERROR(VLOOKUP(N$4,'D&amp;V'!$R$3:$Z$16,9,FALSE),"")</f>
        <v>3.4285714285714284</v>
      </c>
      <c r="O125" s="134">
        <f>IFERROR(VLOOKUP(O$4,'D&amp;V'!$R$3:$Z$16,9,FALSE),"")</f>
        <v>6.1428571428571432</v>
      </c>
      <c r="P125" s="134">
        <f>IFERROR(VLOOKUP(P$4,'D&amp;V'!$R$3:$Z$16,9,FALSE),"")</f>
        <v>7.5714285714285712</v>
      </c>
      <c r="Q125" s="79" t="str">
        <f>IFERROR(VLOOKUP(Q$4,'D&amp;V'!$R$3:$Y$17,5,FALSE),"")</f>
        <v/>
      </c>
      <c r="Z125" s="160"/>
      <c r="AA125" s="160"/>
      <c r="AB125" s="160"/>
      <c r="AC125" s="160"/>
    </row>
    <row r="126" spans="2:29" x14ac:dyDescent="0.35">
      <c r="B126" s="162"/>
      <c r="C126" s="1" t="s">
        <v>223</v>
      </c>
      <c r="D126" s="134">
        <f>IFERROR(VLOOKUP(D$4,'D&amp;V'!$R$3:$Z$16,6,FALSE),"")</f>
        <v>4.2857142857142856</v>
      </c>
      <c r="E126" s="134">
        <f>IFERROR(VLOOKUP(E$4,'D&amp;V'!$R$3:$Z$16,6,FALSE),"")</f>
        <v>5.1428571428571432</v>
      </c>
      <c r="F126" s="134">
        <f>IFERROR(VLOOKUP(F$4,'D&amp;V'!$R$3:$Z$16,6,FALSE),"")</f>
        <v>7.5714285714285712</v>
      </c>
      <c r="G126" s="134">
        <f>IFERROR(VLOOKUP(G$4,'D&amp;V'!$R$3:$Z$16,6,FALSE),"")</f>
        <v>19.142857142857142</v>
      </c>
      <c r="H126" s="134">
        <f>IFERROR(VLOOKUP(H$4,'D&amp;V'!$R$3:$Z$16,6,FALSE),"")</f>
        <v>7.8571428571428568</v>
      </c>
      <c r="I126" s="134">
        <f>IFERROR(VLOOKUP(I$4,'D&amp;V'!$R$3:$Z$16,6,FALSE),"")</f>
        <v>4.5714285714285712</v>
      </c>
      <c r="J126" s="134">
        <f>IFERROR(VLOOKUP(J$4,'D&amp;V'!$R$3:$Z$16,6,FALSE),"")</f>
        <v>8.7142857142857135</v>
      </c>
      <c r="K126" s="134">
        <f>IFERROR(VLOOKUP(K$4,'D&amp;V'!$R$3:$Z$16,6,FALSE),"")</f>
        <v>0.8571428571428571</v>
      </c>
      <c r="L126" s="134">
        <f>IFERROR(VLOOKUP(L$4,'D&amp;V'!$R$3:$Z$16,6,FALSE),"")</f>
        <v>4.2857142857142856</v>
      </c>
      <c r="M126" s="134">
        <f>IFERROR(VLOOKUP(M$4,'D&amp;V'!$R$3:$Z$16,6,FALSE),"")</f>
        <v>8.2857142857142865</v>
      </c>
      <c r="N126" s="134">
        <f>IFERROR(VLOOKUP(N$4,'D&amp;V'!$R$3:$Z$16,6,FALSE),"")</f>
        <v>3.1428571428571428</v>
      </c>
      <c r="O126" s="134">
        <f>IFERROR(VLOOKUP(O$4,'D&amp;V'!$R$3:$Z$16,6,FALSE),"")</f>
        <v>3</v>
      </c>
      <c r="P126" s="134">
        <f>IFERROR(VLOOKUP(P$4,'D&amp;V'!$R$3:$Z$16,6,FALSE),"")</f>
        <v>1.2857142857142858</v>
      </c>
      <c r="Q126" s="79" t="str">
        <f>IFERROR(VLOOKUP(Q$4,'D&amp;V'!$R$3:$Y$17,6,FALSE),"")</f>
        <v/>
      </c>
      <c r="Z126" s="160"/>
      <c r="AA126" s="160"/>
      <c r="AB126" s="160"/>
      <c r="AC126" s="160"/>
    </row>
    <row r="127" spans="2:29" x14ac:dyDescent="0.35">
      <c r="B127" s="162"/>
      <c r="C127" s="11" t="s">
        <v>228</v>
      </c>
      <c r="D127" s="134">
        <f>IFERROR(VLOOKUP(D$4,'D&amp;V'!$R$3:$Z$16,7,FALSE),"")</f>
        <v>1.1428571428571428</v>
      </c>
      <c r="E127" s="134">
        <f>IFERROR(VLOOKUP(E$4,'D&amp;V'!$R$3:$Z$16,7,FALSE),"")</f>
        <v>5.4285714285714288</v>
      </c>
      <c r="F127" s="134">
        <f>IFERROR(VLOOKUP(F$4,'D&amp;V'!$R$3:$Z$16,7,FALSE),"")</f>
        <v>7.5714285714285712</v>
      </c>
      <c r="G127" s="134">
        <f>IFERROR(VLOOKUP(G$4,'D&amp;V'!$R$3:$Z$16,7,FALSE),"")</f>
        <v>0.14285714285714285</v>
      </c>
      <c r="H127" s="134">
        <f>IFERROR(VLOOKUP(H$4,'D&amp;V'!$R$3:$Z$16,7,FALSE),"")</f>
        <v>8.8571428571428577</v>
      </c>
      <c r="I127" s="134">
        <f>IFERROR(VLOOKUP(I$4,'D&amp;V'!$R$3:$Z$16,7,FALSE),"")</f>
        <v>4</v>
      </c>
      <c r="J127" s="134">
        <f>IFERROR(VLOOKUP(J$4,'D&amp;V'!$R$3:$Z$16,7,FALSE),"")</f>
        <v>0</v>
      </c>
      <c r="K127" s="134">
        <f>IFERROR(VLOOKUP(K$4,'D&amp;V'!$R$3:$Z$16,7,FALSE),"")</f>
        <v>0</v>
      </c>
      <c r="L127" s="134">
        <f>IFERROR(VLOOKUP(L$4,'D&amp;V'!$R$3:$Z$16,7,FALSE),"")</f>
        <v>0</v>
      </c>
      <c r="M127" s="134">
        <f>IFERROR(VLOOKUP(M$4,'D&amp;V'!$R$3:$Z$16,7,FALSE),"")</f>
        <v>0.5714285714285714</v>
      </c>
      <c r="N127" s="134">
        <f>IFERROR(VLOOKUP(N$4,'D&amp;V'!$R$3:$Z$16,7,FALSE),"")</f>
        <v>4.5714285714285712</v>
      </c>
      <c r="O127" s="134">
        <f>IFERROR(VLOOKUP(O$4,'D&amp;V'!$R$3:$Z$16,7,FALSE),"")</f>
        <v>1.2857142857142858</v>
      </c>
      <c r="P127" s="134">
        <f>IFERROR(VLOOKUP(P$4,'D&amp;V'!$R$3:$Z$16,7,FALSE),"")</f>
        <v>4.4285714285714288</v>
      </c>
      <c r="Q127" s="79" t="str">
        <f>IFERROR(VLOOKUP(Q$4,'D&amp;V'!$R$3:$Y$17,7,FALSE),"")</f>
        <v/>
      </c>
      <c r="Z127" s="160"/>
      <c r="AA127" s="160"/>
      <c r="AB127" s="160"/>
      <c r="AC127" s="160"/>
    </row>
    <row r="128" spans="2:29" ht="7.5" customHeight="1" x14ac:dyDescent="0.35">
      <c r="B128" s="162"/>
      <c r="Z128" s="160"/>
      <c r="AA128" s="160"/>
      <c r="AB128" s="160"/>
      <c r="AC128" s="160"/>
    </row>
    <row r="129" spans="2:29" x14ac:dyDescent="0.35">
      <c r="B129" s="162"/>
      <c r="C129" s="11" t="s">
        <v>30</v>
      </c>
      <c r="D129" s="59">
        <f>HLOOKUP(D4,'D&amp;V'!AC142:AP143,2,FALSE)</f>
        <v>21</v>
      </c>
      <c r="E129" s="59">
        <f>HLOOKUP(E4,'D&amp;V'!AD142:AQ143,2,FALSE)</f>
        <v>20</v>
      </c>
      <c r="F129" s="59">
        <f>HLOOKUP(F4,'D&amp;V'!AE142:AQ143,2,FALSE)</f>
        <v>17</v>
      </c>
      <c r="G129" s="59">
        <f>HLOOKUP(G4,'D&amp;V'!AF142:AQ143,2,FALSE)</f>
        <v>18</v>
      </c>
      <c r="H129" s="59">
        <f>HLOOKUP(H4,'D&amp;V'!AG142:AQ143,2,FALSE)</f>
        <v>18</v>
      </c>
      <c r="I129" s="59">
        <f>HLOOKUP(I4,'D&amp;V'!AH142:AQ143,2,FALSE)</f>
        <v>16</v>
      </c>
      <c r="J129" s="59">
        <f>HLOOKUP(J4,'D&amp;V'!AI142:AR143,2,FALSE)</f>
        <v>9</v>
      </c>
      <c r="K129" s="59">
        <f>HLOOKUP(K4,'D&amp;V'!AJ142:AS143,2,FALSE)</f>
        <v>11</v>
      </c>
      <c r="L129" s="59">
        <f>HLOOKUP(L4,'D&amp;V'!AK142:AT143,2,FALSE)</f>
        <v>12</v>
      </c>
      <c r="M129" s="59">
        <f>HLOOKUP(M4,'D&amp;V'!AL142:AU143,2,FALSE)</f>
        <v>14</v>
      </c>
      <c r="N129" s="59">
        <f>HLOOKUP(N4,'D&amp;V'!AM142:AV143,2,FALSE)</f>
        <v>13</v>
      </c>
      <c r="O129" s="59">
        <f>HLOOKUP(O4,'D&amp;V'!AN142:AW143,2,FALSE)</f>
        <v>14</v>
      </c>
      <c r="P129" s="59">
        <f>HLOOKUP(P4,'D&amp;V'!AO142:AW143,2,FALSE)</f>
        <v>14</v>
      </c>
      <c r="Q129" s="87"/>
      <c r="Z129" s="160"/>
      <c r="AA129" s="160"/>
      <c r="AB129" s="160"/>
      <c r="AC129" s="160"/>
    </row>
    <row r="130" spans="2:29" ht="7.5" customHeight="1" x14ac:dyDescent="0.35">
      <c r="B130" s="162"/>
      <c r="C130" s="1"/>
      <c r="Q130" s="83"/>
      <c r="Z130" s="160"/>
      <c r="AA130" s="160"/>
      <c r="AB130" s="160"/>
      <c r="AC130" s="160"/>
    </row>
    <row r="131" spans="2:29" x14ac:dyDescent="0.35">
      <c r="B131" s="162"/>
      <c r="C131" s="1" t="s">
        <v>0</v>
      </c>
      <c r="D131" s="167" t="s">
        <v>252</v>
      </c>
      <c r="E131" s="167"/>
      <c r="F131" s="167"/>
      <c r="G131" s="167" t="s">
        <v>298</v>
      </c>
      <c r="H131" s="167"/>
      <c r="I131" s="167"/>
      <c r="J131" s="167"/>
      <c r="K131" s="168" t="s">
        <v>294</v>
      </c>
      <c r="L131" s="168"/>
      <c r="M131" s="168"/>
      <c r="N131" s="176" t="str">
        <f>TEXT('D&amp;V'!AV6,"0,0")&amp;" ("&amp;TEXT('D&amp;V'!AV8,"dd-mmm")&amp;")"</f>
        <v>357 (10-Jan)</v>
      </c>
      <c r="O131" s="176"/>
      <c r="P131" s="176"/>
      <c r="Q131" s="88"/>
      <c r="Z131" s="160"/>
      <c r="AA131" s="160"/>
      <c r="AB131" s="160"/>
      <c r="AC131" s="160"/>
    </row>
    <row r="132" spans="2:29" ht="7.5" customHeight="1" x14ac:dyDescent="0.35">
      <c r="B132" s="162"/>
      <c r="Z132" s="160"/>
      <c r="AA132" s="160"/>
      <c r="AB132" s="160"/>
      <c r="AC132" s="160"/>
    </row>
    <row r="133" spans="2:29" ht="15" customHeight="1" x14ac:dyDescent="0.35">
      <c r="B133" s="162"/>
      <c r="C133" s="12" t="s">
        <v>14</v>
      </c>
      <c r="D133" s="118">
        <v>135.28571428571428</v>
      </c>
      <c r="E133" s="118">
        <v>106.85714285714286</v>
      </c>
      <c r="F133" s="118">
        <v>136</v>
      </c>
      <c r="G133" s="118">
        <v>112.71428571428571</v>
      </c>
      <c r="H133" s="118">
        <v>67.428571428571431</v>
      </c>
      <c r="I133" s="118">
        <v>130.71428571428572</v>
      </c>
      <c r="J133" s="118">
        <v>124.57142857142857</v>
      </c>
      <c r="K133" s="118">
        <v>106.71428571428571</v>
      </c>
      <c r="L133" s="118">
        <v>138</v>
      </c>
      <c r="M133" s="118">
        <v>155.42857142857142</v>
      </c>
      <c r="N133" s="118">
        <v>137.14285714285714</v>
      </c>
      <c r="O133" s="118">
        <v>114.42857142857143</v>
      </c>
      <c r="P133" s="118">
        <v>135.28571428571428</v>
      </c>
      <c r="Z133" s="160"/>
      <c r="AA133" s="160"/>
      <c r="AB133" s="160"/>
      <c r="AC133" s="160"/>
    </row>
    <row r="134" spans="2:29" x14ac:dyDescent="0.35">
      <c r="B134" s="162"/>
      <c r="C134" s="1" t="s">
        <v>252</v>
      </c>
      <c r="D134" s="128">
        <v>171.42857142857142</v>
      </c>
      <c r="E134" s="128">
        <v>146.42857142857142</v>
      </c>
      <c r="F134" s="128">
        <v>138.57142857142858</v>
      </c>
      <c r="G134" s="128">
        <v>84.571428571428569</v>
      </c>
      <c r="H134" s="128">
        <v>74.571428571428569</v>
      </c>
      <c r="I134" s="128">
        <v>123.42857142857143</v>
      </c>
      <c r="J134" s="128">
        <v>99.571428571428569</v>
      </c>
      <c r="K134" s="128">
        <v>145.71428571428572</v>
      </c>
      <c r="L134" s="128">
        <v>146.14285714285714</v>
      </c>
      <c r="M134" s="128">
        <v>137.28571428571428</v>
      </c>
      <c r="N134" s="128">
        <v>125.57142857142857</v>
      </c>
      <c r="O134" s="128">
        <v>103.57142857142857</v>
      </c>
      <c r="P134" s="128">
        <v>125.71428571428571</v>
      </c>
      <c r="Z134" s="160"/>
      <c r="AA134" s="160"/>
      <c r="AB134" s="160"/>
      <c r="AC134" s="160"/>
    </row>
    <row r="135" spans="2:29" ht="7.5" customHeight="1" x14ac:dyDescent="0.35">
      <c r="B135" s="162"/>
      <c r="C135" s="1"/>
      <c r="Z135" s="160"/>
      <c r="AA135" s="160"/>
      <c r="AB135" s="160"/>
      <c r="AC135" s="160"/>
    </row>
    <row r="136" spans="2:29" x14ac:dyDescent="0.35">
      <c r="B136" s="162"/>
      <c r="C136" s="16" t="s">
        <v>294</v>
      </c>
      <c r="D136" s="62">
        <f>IFERROR(VLOOKUP(D$4,'D&amp;V'!$BO$5:$BW$18,2,FALSE),"")</f>
        <v>26.428571428571427</v>
      </c>
      <c r="E136" s="62">
        <f>IFERROR(VLOOKUP(E$4,'D&amp;V'!$BO$5:$BW$18,2,FALSE),"")</f>
        <v>20.142857142857142</v>
      </c>
      <c r="F136" s="62">
        <f>IFERROR(VLOOKUP(F$4,'D&amp;V'!$BO$5:$BW$18,2,FALSE),"")</f>
        <v>21.428571428571427</v>
      </c>
      <c r="G136" s="62">
        <f>IFERROR(VLOOKUP(G$4,'D&amp;V'!$BO$5:$BW$18,2,FALSE),"")</f>
        <v>16.714285714285715</v>
      </c>
      <c r="H136" s="62">
        <f>IFERROR(VLOOKUP(H$4,'D&amp;V'!$BO$5:$BW$18,2,FALSE),"")</f>
        <v>11.142857142857142</v>
      </c>
      <c r="I136" s="62">
        <f>IFERROR(VLOOKUP(I$4,'D&amp;V'!$BO$5:$BW$18,2,FALSE),"")</f>
        <v>7.1428571428571432</v>
      </c>
      <c r="J136" s="62">
        <f>IFERROR(VLOOKUP(J$4,'D&amp;V'!$BO$5:$BW$18,2,FALSE),"")</f>
        <v>5</v>
      </c>
      <c r="K136" s="62">
        <f>IFERROR(VLOOKUP(K$4,'D&amp;V'!$BO$5:$BW$18,2,FALSE),"")</f>
        <v>5</v>
      </c>
      <c r="L136" s="62">
        <f>IFERROR(VLOOKUP(L$4,'D&amp;V'!$BO$5:$BW$18,2,FALSE),"")</f>
        <v>6</v>
      </c>
      <c r="M136" s="62">
        <f>IFERROR(VLOOKUP(M$4,'D&amp;V'!$BO$5:$BW$18,2,FALSE),"")</f>
        <v>16.714285714285715</v>
      </c>
      <c r="N136" s="62">
        <f>IFERROR(VLOOKUP(N$4,'D&amp;V'!$BO$5:$BW$18,2,FALSE),"")</f>
        <v>12</v>
      </c>
      <c r="O136" s="62">
        <f>IFERROR(VLOOKUP(O$4,'D&amp;V'!$BO$5:$BW$18,2,FALSE),"")</f>
        <v>9.5714285714285712</v>
      </c>
      <c r="P136" s="62">
        <f>IFERROR(VLOOKUP(P$4,'D&amp;V'!$BO$5:$BW$18,2,FALSE),"")</f>
        <v>7.8571428571428568</v>
      </c>
      <c r="Q136" s="84" t="str">
        <f>IFERROR(VLOOKUP(Q$4,'D&amp;V'!$BO$5:$BV$19,2,FALSE),"")</f>
        <v/>
      </c>
      <c r="Z136" s="160"/>
      <c r="AA136" s="160"/>
      <c r="AB136" s="160"/>
      <c r="AC136" s="160"/>
    </row>
    <row r="137" spans="2:29" x14ac:dyDescent="0.35">
      <c r="B137" s="162"/>
      <c r="C137" s="1" t="s">
        <v>1</v>
      </c>
      <c r="D137" s="136">
        <f>IFERROR(VLOOKUP(D$4,'D&amp;V'!$BO$5:$BW$18,3,FALSE),"")</f>
        <v>6.2857142857142856</v>
      </c>
      <c r="E137" s="136">
        <f>IFERROR(VLOOKUP(E$4,'D&amp;V'!$BO$5:$BW$18,3,FALSE),"")</f>
        <v>1.5714285714285714</v>
      </c>
      <c r="F137" s="136">
        <f>IFERROR(VLOOKUP(F$4,'D&amp;V'!$BO$5:$BW$18,3,FALSE),"")</f>
        <v>2.7142857142857144</v>
      </c>
      <c r="G137" s="136">
        <f>IFERROR(VLOOKUP(G$4,'D&amp;V'!$BO$5:$BW$18,3,FALSE),"")</f>
        <v>2.8571428571428572</v>
      </c>
      <c r="H137" s="136">
        <f>IFERROR(VLOOKUP(H$4,'D&amp;V'!$BO$5:$BW$18,3,FALSE),"")</f>
        <v>2.4285714285714284</v>
      </c>
      <c r="I137" s="136">
        <f>IFERROR(VLOOKUP(I$4,'D&amp;V'!$BO$5:$BW$18,3,FALSE),"")</f>
        <v>0.8571428571428571</v>
      </c>
      <c r="J137" s="136">
        <f>IFERROR(VLOOKUP(J$4,'D&amp;V'!$BO$5:$BW$18,3,FALSE),"")</f>
        <v>0.42857142857142855</v>
      </c>
      <c r="K137" s="136">
        <f>IFERROR(VLOOKUP(K$4,'D&amp;V'!$BO$5:$BW$18,3,FALSE),"")</f>
        <v>0.7142857142857143</v>
      </c>
      <c r="L137" s="136">
        <f>IFERROR(VLOOKUP(L$4,'D&amp;V'!$BO$5:$BW$18,3,FALSE),"")</f>
        <v>1.1428571428571428</v>
      </c>
      <c r="M137" s="136">
        <f>IFERROR(VLOOKUP(M$4,'D&amp;V'!$BO$5:$BW$18,3,FALSE),"")</f>
        <v>0.2857142857142857</v>
      </c>
      <c r="N137" s="136">
        <f>IFERROR(VLOOKUP(N$4,'D&amp;V'!$BO$5:$BW$18,3,FALSE),"")</f>
        <v>0.7142857142857143</v>
      </c>
      <c r="O137" s="136">
        <f>IFERROR(VLOOKUP(O$4,'D&amp;V'!$BO$5:$BW$18,3,FALSE),"")</f>
        <v>0.8571428571428571</v>
      </c>
      <c r="P137" s="136">
        <f>IFERROR(VLOOKUP(P$4,'D&amp;V'!$BO$5:$BW$18,3,FALSE),"")</f>
        <v>2.1428571428571428</v>
      </c>
      <c r="Q137" s="89" t="str">
        <f>IFERROR(VLOOKUP(Q$4,'D&amp;V'!$BO$5:$BV$19,3,FALSE),"")</f>
        <v/>
      </c>
      <c r="Z137" s="160"/>
      <c r="AA137" s="160"/>
      <c r="AB137" s="160"/>
      <c r="AC137" s="160"/>
    </row>
    <row r="138" spans="2:29" x14ac:dyDescent="0.35">
      <c r="B138" s="162"/>
      <c r="C138" s="1" t="s">
        <v>226</v>
      </c>
      <c r="D138" s="136">
        <f>IFERROR(VLOOKUP(D$4,'D&amp;V'!$BO$5:$BW$18,4,FALSE),"")</f>
        <v>5.4285714285714288</v>
      </c>
      <c r="E138" s="136">
        <f>IFERROR(VLOOKUP(E$4,'D&amp;V'!$BO$5:$BW$18,4,FALSE),"")</f>
        <v>4.7142857142857144</v>
      </c>
      <c r="F138" s="136">
        <f>IFERROR(VLOOKUP(F$4,'D&amp;V'!$BO$5:$BW$18,4,FALSE),"")</f>
        <v>0.42857142857142855</v>
      </c>
      <c r="G138" s="136">
        <f>IFERROR(VLOOKUP(G$4,'D&amp;V'!$BO$5:$BW$18,4,FALSE),"")</f>
        <v>0</v>
      </c>
      <c r="H138" s="136">
        <f>IFERROR(VLOOKUP(H$4,'D&amp;V'!$BO$5:$BW$18,4,FALSE),"")</f>
        <v>0.2857142857142857</v>
      </c>
      <c r="I138" s="136">
        <f>IFERROR(VLOOKUP(I$4,'D&amp;V'!$BO$5:$BW$18,4,FALSE),"")</f>
        <v>0.2857142857142857</v>
      </c>
      <c r="J138" s="136">
        <f>IFERROR(VLOOKUP(J$4,'D&amp;V'!$BO$5:$BW$18,4,FALSE),"")</f>
        <v>0</v>
      </c>
      <c r="K138" s="136">
        <f>IFERROR(VLOOKUP(K$4,'D&amp;V'!$BO$5:$BW$18,4,FALSE),"")</f>
        <v>0.42857142857142855</v>
      </c>
      <c r="L138" s="136">
        <f>IFERROR(VLOOKUP(L$4,'D&amp;V'!$BO$5:$BW$18,4,FALSE),"")</f>
        <v>0.14285714285714285</v>
      </c>
      <c r="M138" s="136">
        <f>IFERROR(VLOOKUP(M$4,'D&amp;V'!$BO$5:$BW$18,4,FALSE),"")</f>
        <v>0.14285714285714285</v>
      </c>
      <c r="N138" s="136">
        <f>IFERROR(VLOOKUP(N$4,'D&amp;V'!$BO$5:$BW$18,4,FALSE),"")</f>
        <v>0.42857142857142855</v>
      </c>
      <c r="O138" s="136">
        <f>IFERROR(VLOOKUP(O$4,'D&amp;V'!$BO$5:$BW$18,4,FALSE),"")</f>
        <v>0</v>
      </c>
      <c r="P138" s="136">
        <f>IFERROR(VLOOKUP(P$4,'D&amp;V'!$BO$5:$BW$18,4,FALSE),"")</f>
        <v>0</v>
      </c>
      <c r="Q138" s="89" t="str">
        <f>IFERROR(VLOOKUP(Q$4,'D&amp;V'!$BO$5:$BV$19,4,FALSE),"")</f>
        <v/>
      </c>
      <c r="Z138" s="160"/>
      <c r="AA138" s="160"/>
      <c r="AB138" s="160"/>
      <c r="AC138" s="160"/>
    </row>
    <row r="139" spans="2:29" x14ac:dyDescent="0.35">
      <c r="B139" s="162"/>
      <c r="C139" s="1" t="s">
        <v>253</v>
      </c>
      <c r="D139" s="136">
        <f>IFERROR(VLOOKUP(D$4,'D&amp;V'!$BO$5:$BW$18,8,FALSE),"")</f>
        <v>1.5714285714285714</v>
      </c>
      <c r="E139" s="136">
        <f>IFERROR(VLOOKUP(E$4,'D&amp;V'!$BO$5:$BW$18,8,FALSE),"")</f>
        <v>0.42857142857142855</v>
      </c>
      <c r="F139" s="136">
        <f>IFERROR(VLOOKUP(F$4,'D&amp;V'!$BO$5:$BW$18,8,FALSE),"")</f>
        <v>0</v>
      </c>
      <c r="G139" s="136">
        <f>IFERROR(VLOOKUP(G$4,'D&amp;V'!$BO$5:$BW$18,8,FALSE),"")</f>
        <v>0</v>
      </c>
      <c r="H139" s="136">
        <f>IFERROR(VLOOKUP(H$4,'D&amp;V'!$BO$5:$BW$18,8,FALSE),"")</f>
        <v>0</v>
      </c>
      <c r="I139" s="136">
        <f>IFERROR(VLOOKUP(I$4,'D&amp;V'!$BO$5:$BW$18,8,FALSE),"")</f>
        <v>0</v>
      </c>
      <c r="J139" s="136">
        <f>IFERROR(VLOOKUP(J$4,'D&amp;V'!$BO$5:$BW$18,8,FALSE),"")</f>
        <v>0</v>
      </c>
      <c r="K139" s="136">
        <f>IFERROR(VLOOKUP(K$4,'D&amp;V'!$BO$5:$BW$18,8,FALSE),"")</f>
        <v>0</v>
      </c>
      <c r="L139" s="136">
        <f>IFERROR(VLOOKUP(L$4,'D&amp;V'!$BO$5:$BW$18,8,FALSE),"")</f>
        <v>0</v>
      </c>
      <c r="M139" s="136">
        <f>IFERROR(VLOOKUP(M$4,'D&amp;V'!$BO$5:$BW$18,8,FALSE),"")</f>
        <v>0</v>
      </c>
      <c r="N139" s="136">
        <f>IFERROR(VLOOKUP(N$4,'D&amp;V'!$BO$5:$BW$18,8,FALSE),"")</f>
        <v>0</v>
      </c>
      <c r="O139" s="136">
        <f>IFERROR(VLOOKUP(O$4,'D&amp;V'!$BO$5:$BW$18,8,FALSE),"")</f>
        <v>0</v>
      </c>
      <c r="P139" s="136">
        <f>IFERROR(VLOOKUP(P$4,'D&amp;V'!$BO$5:$BW$18,8,FALSE),"")</f>
        <v>0</v>
      </c>
      <c r="Q139" s="89"/>
      <c r="Z139" s="160"/>
      <c r="AA139" s="160"/>
      <c r="AB139" s="160"/>
      <c r="AC139" s="160"/>
    </row>
    <row r="140" spans="2:29" x14ac:dyDescent="0.35">
      <c r="B140" s="162"/>
      <c r="C140" s="1" t="s">
        <v>254</v>
      </c>
      <c r="D140" s="136">
        <f>IFERROR(VLOOKUP(D$4,'D&amp;V'!$BO$5:$BW$18,5,FALSE),"")</f>
        <v>3.4285714285714284</v>
      </c>
      <c r="E140" s="136">
        <f>IFERROR(VLOOKUP(E$4,'D&amp;V'!$BO$5:$BW$18,5,FALSE),"")</f>
        <v>6.1428571428571432</v>
      </c>
      <c r="F140" s="136">
        <f>IFERROR(VLOOKUP(F$4,'D&amp;V'!$BO$5:$BW$18,5,FALSE),"")</f>
        <v>10.142857142857142</v>
      </c>
      <c r="G140" s="136">
        <f>IFERROR(VLOOKUP(G$4,'D&amp;V'!$BO$5:$BW$18,5,FALSE),"")</f>
        <v>4</v>
      </c>
      <c r="H140" s="136">
        <f>IFERROR(VLOOKUP(H$4,'D&amp;V'!$BO$5:$BW$18,5,FALSE),"")</f>
        <v>2.7142857142857144</v>
      </c>
      <c r="I140" s="136">
        <f>IFERROR(VLOOKUP(I$4,'D&amp;V'!$BO$5:$BW$18,5,FALSE),"")</f>
        <v>2.5714285714285716</v>
      </c>
      <c r="J140" s="136">
        <f>IFERROR(VLOOKUP(J$4,'D&amp;V'!$BO$5:$BW$18,5,FALSE),"")</f>
        <v>1.7142857142857142</v>
      </c>
      <c r="K140" s="136">
        <f>IFERROR(VLOOKUP(K$4,'D&amp;V'!$BO$5:$BW$18,5,FALSE),"")</f>
        <v>2.2857142857142856</v>
      </c>
      <c r="L140" s="136">
        <f>IFERROR(VLOOKUP(L$4,'D&amp;V'!$BO$5:$BW$18,5,FALSE),"")</f>
        <v>1.8571428571428572</v>
      </c>
      <c r="M140" s="136">
        <f>IFERROR(VLOOKUP(M$4,'D&amp;V'!$BO$5:$BW$18,5,FALSE),"")</f>
        <v>5.4285714285714288</v>
      </c>
      <c r="N140" s="136">
        <f>IFERROR(VLOOKUP(N$4,'D&amp;V'!$BO$5:$BW$18,5,FALSE),"")</f>
        <v>6.1428571428571432</v>
      </c>
      <c r="O140" s="136">
        <f>IFERROR(VLOOKUP(O$4,'D&amp;V'!$BO$5:$BW$18,5,FALSE),"")</f>
        <v>6.1428571428571432</v>
      </c>
      <c r="P140" s="136">
        <f>IFERROR(VLOOKUP(P$4,'D&amp;V'!$BO$5:$BW$18,5,FALSE),"")</f>
        <v>2.8571428571428572</v>
      </c>
      <c r="Q140" s="89"/>
      <c r="Z140" s="160"/>
      <c r="AA140" s="160"/>
      <c r="AB140" s="160"/>
      <c r="AC140" s="160"/>
    </row>
    <row r="141" spans="2:29" x14ac:dyDescent="0.35">
      <c r="B141" s="162"/>
      <c r="C141" s="1" t="s">
        <v>256</v>
      </c>
      <c r="D141" s="136">
        <f>IFERROR(VLOOKUP(D$4,'D&amp;V'!$BO$5:$BW$18,9,FALSE),"")</f>
        <v>7.8571428571428568</v>
      </c>
      <c r="E141" s="136">
        <f>IFERROR(VLOOKUP(E$4,'D&amp;V'!$BO$5:$BW$18,9,FALSE),"")</f>
        <v>1</v>
      </c>
      <c r="F141" s="136">
        <f>IFERROR(VLOOKUP(F$4,'D&amp;V'!$BO$5:$BW$18,9,FALSE),"")</f>
        <v>1.8571428571428572</v>
      </c>
      <c r="G141" s="136">
        <f>IFERROR(VLOOKUP(G$4,'D&amp;V'!$BO$5:$BW$18,9,FALSE),"")</f>
        <v>0.5714285714285714</v>
      </c>
      <c r="H141" s="136">
        <f>IFERROR(VLOOKUP(H$4,'D&amp;V'!$BO$5:$BW$18,9,FALSE),"")</f>
        <v>3.2857142857142856</v>
      </c>
      <c r="I141" s="136">
        <f>IFERROR(VLOOKUP(I$4,'D&amp;V'!$BO$5:$BW$18,9,FALSE),"")</f>
        <v>2.1428571428571428</v>
      </c>
      <c r="J141" s="136">
        <f>IFERROR(VLOOKUP(J$4,'D&amp;V'!$BO$5:$BW$18,9,FALSE),"")</f>
        <v>1.4285714285714286</v>
      </c>
      <c r="K141" s="136">
        <f>IFERROR(VLOOKUP(K$4,'D&amp;V'!$BO$5:$BW$18,9,FALSE),"")</f>
        <v>1.4285714285714286</v>
      </c>
      <c r="L141" s="136">
        <f>IFERROR(VLOOKUP(L$4,'D&amp;V'!$BO$5:$BW$18,9,FALSE),"")</f>
        <v>1.4285714285714286</v>
      </c>
      <c r="M141" s="136">
        <f>IFERROR(VLOOKUP(M$4,'D&amp;V'!$BO$5:$BW$18,9,FALSE),"")</f>
        <v>3.8571428571428572</v>
      </c>
      <c r="N141" s="136">
        <f>IFERROR(VLOOKUP(N$4,'D&amp;V'!$BO$5:$BW$18,9,FALSE),"")</f>
        <v>0.5714285714285714</v>
      </c>
      <c r="O141" s="136">
        <f>IFERROR(VLOOKUP(O$4,'D&amp;V'!$BO$5:$BW$18,9,FALSE),"")</f>
        <v>1.1428571428571428</v>
      </c>
      <c r="P141" s="136">
        <f>IFERROR(VLOOKUP(P$4,'D&amp;V'!$BO$5:$BW$18,9,FALSE),"")</f>
        <v>1.1428571428571428</v>
      </c>
      <c r="Q141" s="89" t="str">
        <f>IFERROR(VLOOKUP(Q$4,'D&amp;V'!$BO$5:$BV$19,5,FALSE),"")</f>
        <v/>
      </c>
      <c r="Z141" s="160"/>
      <c r="AA141" s="160"/>
      <c r="AB141" s="160"/>
      <c r="AC141" s="160"/>
    </row>
    <row r="142" spans="2:29" x14ac:dyDescent="0.35">
      <c r="B142" s="162"/>
      <c r="C142" s="1" t="s">
        <v>223</v>
      </c>
      <c r="D142" s="136">
        <f>IFERROR(VLOOKUP(D$4,'D&amp;V'!$BO$5:$BW$18,6,FALSE),"")</f>
        <v>1.7142857142857142</v>
      </c>
      <c r="E142" s="136">
        <f>IFERROR(VLOOKUP(E$4,'D&amp;V'!$BO$5:$BW$18,6,FALSE),"")</f>
        <v>5.1428571428571432</v>
      </c>
      <c r="F142" s="136">
        <f>IFERROR(VLOOKUP(F$4,'D&amp;V'!$BO$5:$BW$18,6,FALSE),"")</f>
        <v>1.7142857142857142</v>
      </c>
      <c r="G142" s="136">
        <f>IFERROR(VLOOKUP(G$4,'D&amp;V'!$BO$5:$BW$18,6,FALSE),"")</f>
        <v>9.1428571428571423</v>
      </c>
      <c r="H142" s="136">
        <f>IFERROR(VLOOKUP(H$4,'D&amp;V'!$BO$5:$BW$18,6,FALSE),"")</f>
        <v>1.5714285714285714</v>
      </c>
      <c r="I142" s="136">
        <f>IFERROR(VLOOKUP(I$4,'D&amp;V'!$BO$5:$BW$18,6,FALSE),"")</f>
        <v>1.1428571428571428</v>
      </c>
      <c r="J142" s="136">
        <f>IFERROR(VLOOKUP(J$4,'D&amp;V'!$BO$5:$BW$18,6,FALSE),"")</f>
        <v>1.4285714285714286</v>
      </c>
      <c r="K142" s="136">
        <f>IFERROR(VLOOKUP(K$4,'D&amp;V'!$BO$5:$BW$18,6,FALSE),"")</f>
        <v>0.14285714285714285</v>
      </c>
      <c r="L142" s="136">
        <f>IFERROR(VLOOKUP(L$4,'D&amp;V'!$BO$5:$BW$18,6,FALSE),"")</f>
        <v>1.4285714285714286</v>
      </c>
      <c r="M142" s="136">
        <f>IFERROR(VLOOKUP(M$4,'D&amp;V'!$BO$5:$BW$18,6,FALSE),"")</f>
        <v>7</v>
      </c>
      <c r="N142" s="136">
        <f>IFERROR(VLOOKUP(N$4,'D&amp;V'!$BO$5:$BW$18,6,FALSE),"")</f>
        <v>2.5714285714285716</v>
      </c>
      <c r="O142" s="136">
        <f>IFERROR(VLOOKUP(O$4,'D&amp;V'!$BO$5:$BW$18,6,FALSE),"")</f>
        <v>0.8571428571428571</v>
      </c>
      <c r="P142" s="136">
        <f>IFERROR(VLOOKUP(P$4,'D&amp;V'!$BO$5:$BW$18,6,FALSE),"")</f>
        <v>0.5714285714285714</v>
      </c>
      <c r="Q142" s="89" t="str">
        <f>IFERROR(VLOOKUP(Q$4,'D&amp;V'!$BO$5:$BV$19,6,FALSE),"")</f>
        <v/>
      </c>
      <c r="Z142" s="160"/>
      <c r="AA142" s="160"/>
      <c r="AB142" s="160"/>
      <c r="AC142" s="160"/>
    </row>
    <row r="143" spans="2:29" x14ac:dyDescent="0.35">
      <c r="B143" s="162"/>
      <c r="C143" s="11" t="s">
        <v>224</v>
      </c>
      <c r="D143" s="136">
        <f>IFERROR(VLOOKUP(D$4,'D&amp;V'!$BO$5:$BW$18,7,FALSE),"")</f>
        <v>0.14285714285714285</v>
      </c>
      <c r="E143" s="136">
        <f>IFERROR(VLOOKUP(E$4,'D&amp;V'!$BO$5:$BW$18,7,FALSE),"")</f>
        <v>1.1428571428571428</v>
      </c>
      <c r="F143" s="136">
        <f>IFERROR(VLOOKUP(F$4,'D&amp;V'!$BO$5:$BW$18,7,FALSE),"")</f>
        <v>4.5714285714285712</v>
      </c>
      <c r="G143" s="136">
        <f>IFERROR(VLOOKUP(G$4,'D&amp;V'!$BO$5:$BW$18,7,FALSE),"")</f>
        <v>0.14285714285714285</v>
      </c>
      <c r="H143" s="136">
        <f>IFERROR(VLOOKUP(H$4,'D&amp;V'!$BO$5:$BW$18,7,FALSE),"")</f>
        <v>0.8571428571428571</v>
      </c>
      <c r="I143" s="136">
        <f>IFERROR(VLOOKUP(I$4,'D&amp;V'!$BO$5:$BW$18,7,FALSE),"")</f>
        <v>0.14285714285714285</v>
      </c>
      <c r="J143" s="136">
        <f>IFERROR(VLOOKUP(J$4,'D&amp;V'!$BO$5:$BW$18,7,FALSE),"")</f>
        <v>0</v>
      </c>
      <c r="K143" s="136">
        <f>IFERROR(VLOOKUP(K$4,'D&amp;V'!$BO$5:$BW$18,7,FALSE),"")</f>
        <v>0</v>
      </c>
      <c r="L143" s="136">
        <f>IFERROR(VLOOKUP(L$4,'D&amp;V'!$BO$5:$BW$18,7,FALSE),"")</f>
        <v>0</v>
      </c>
      <c r="M143" s="136">
        <f>IFERROR(VLOOKUP(M$4,'D&amp;V'!$BO$5:$BW$18,7,FALSE),"")</f>
        <v>0</v>
      </c>
      <c r="N143" s="136">
        <f>IFERROR(VLOOKUP(N$4,'D&amp;V'!$BO$5:$BW$18,7,FALSE),"")</f>
        <v>1.5714285714285714</v>
      </c>
      <c r="O143" s="136">
        <f>IFERROR(VLOOKUP(O$4,'D&amp;V'!$BO$5:$BW$18,7,FALSE),"")</f>
        <v>0.5714285714285714</v>
      </c>
      <c r="P143" s="136">
        <f>IFERROR(VLOOKUP(P$4,'D&amp;V'!$BO$5:$BW$18,7,FALSE),"")</f>
        <v>1.1428571428571428</v>
      </c>
      <c r="Q143" s="89" t="str">
        <f>IFERROR(VLOOKUP(Q$4,'D&amp;V'!$BO$5:$BV$19,7,FALSE),"")</f>
        <v/>
      </c>
      <c r="Z143" s="160"/>
      <c r="AA143" s="160"/>
      <c r="AB143" s="160"/>
      <c r="AC143" s="160"/>
    </row>
    <row r="144" spans="2:29" ht="7.5" customHeight="1" x14ac:dyDescent="0.35">
      <c r="B144" s="162"/>
      <c r="Z144" s="160"/>
      <c r="AA144" s="160"/>
      <c r="AB144" s="160"/>
      <c r="AC144" s="160"/>
    </row>
    <row r="145" spans="2:29" x14ac:dyDescent="0.35">
      <c r="B145" s="162"/>
      <c r="C145" s="11" t="s">
        <v>31</v>
      </c>
      <c r="D145" s="59">
        <f>IFERROR(HLOOKUP(D$4,'D&amp;V'!CA143:CN144,2,FALSE),"")</f>
        <v>18</v>
      </c>
      <c r="E145" s="59">
        <f>IFERROR(HLOOKUP(E$4,'D&amp;V'!CB143:CO144,2,FALSE),"")</f>
        <v>10</v>
      </c>
      <c r="F145" s="59">
        <f>IFERROR(HLOOKUP(F$4,'D&amp;V'!CC143:CP144,2,FALSE),"")</f>
        <v>11</v>
      </c>
      <c r="G145" s="59">
        <f>IFERROR(HLOOKUP(G$4,'D&amp;V'!CD143:CP144,2,FALSE),"")</f>
        <v>13</v>
      </c>
      <c r="H145" s="59">
        <f>IFERROR(HLOOKUP(H$4,'D&amp;V'!CE143:CP144,2,FALSE),"")</f>
        <v>12</v>
      </c>
      <c r="I145" s="59">
        <f>IFERROR(HLOOKUP(I$4,'D&amp;V'!CF143:CP144,2,FALSE),"")</f>
        <v>18</v>
      </c>
      <c r="J145" s="59">
        <f>IFERROR(HLOOKUP(J$4,'D&amp;V'!CG143:CP144,2,FALSE),"")</f>
        <v>16</v>
      </c>
      <c r="K145" s="59">
        <f>IFERROR(HLOOKUP(K$4,'D&amp;V'!CH143:CQ144,2,FALSE),"")</f>
        <v>13</v>
      </c>
      <c r="L145" s="59">
        <f>IFERROR(HLOOKUP(L$4,'D&amp;V'!CI143:CR144,2,FALSE),"")</f>
        <v>13</v>
      </c>
      <c r="M145" s="59">
        <f>IFERROR(HLOOKUP(M$4,'D&amp;V'!CJ143:CS144,2,FALSE),"")</f>
        <v>11</v>
      </c>
      <c r="N145" s="59">
        <f>IFERROR(HLOOKUP(N$4,'D&amp;V'!CK143:CT144,2,FALSE),"")</f>
        <v>8</v>
      </c>
      <c r="O145" s="59">
        <f>IFERROR(HLOOKUP(O$4,'D&amp;V'!CL143:CU144,2,FALSE),"")</f>
        <v>11</v>
      </c>
      <c r="P145" s="59">
        <f>IFERROR(HLOOKUP(P$4,'D&amp;V'!CM143:CV144,2,FALSE),"")</f>
        <v>10</v>
      </c>
      <c r="Q145" s="87" t="str">
        <f>IFERROR(HLOOKUP(Q$4,'D&amp;V'!CN143:CW144,2,FALSE),"")</f>
        <v/>
      </c>
      <c r="Z145" s="160"/>
      <c r="AA145" s="160"/>
      <c r="AB145" s="160"/>
      <c r="AC145" s="160"/>
    </row>
    <row r="146" spans="2:29" ht="7.5" customHeight="1" x14ac:dyDescent="0.35">
      <c r="B146" s="162"/>
      <c r="C146" s="1"/>
      <c r="Z146" s="160"/>
      <c r="AA146" s="160"/>
      <c r="AB146" s="160"/>
      <c r="AC146" s="160"/>
    </row>
    <row r="147" spans="2:29" x14ac:dyDescent="0.35">
      <c r="B147" s="162"/>
      <c r="C147" s="1" t="s">
        <v>0</v>
      </c>
      <c r="D147" s="167" t="s">
        <v>252</v>
      </c>
      <c r="E147" s="167"/>
      <c r="F147" s="167"/>
      <c r="G147" s="167" t="s">
        <v>299</v>
      </c>
      <c r="H147" s="167"/>
      <c r="I147" s="167"/>
      <c r="J147" s="167"/>
      <c r="K147" s="168" t="s">
        <v>294</v>
      </c>
      <c r="L147" s="168"/>
      <c r="M147" s="168"/>
      <c r="N147" s="177" t="str">
        <f>TEXT('D&amp;V'!CU6,"0,0")&amp;" ("&amp;TEXT('D&amp;V'!CU8,"dd-mmm")&amp;")"</f>
        <v>65 (02-Dec)</v>
      </c>
      <c r="O147" s="178"/>
      <c r="P147" s="179"/>
      <c r="Q147" s="88"/>
      <c r="Z147" s="160"/>
      <c r="AA147" s="160"/>
      <c r="AB147" s="160"/>
      <c r="AC147" s="160"/>
    </row>
    <row r="148" spans="2:29" ht="30" customHeight="1" x14ac:dyDescent="0.35">
      <c r="C148" s="1"/>
    </row>
    <row r="149" spans="2:29" ht="15" customHeight="1" x14ac:dyDescent="0.35">
      <c r="B149" s="162" t="s">
        <v>15</v>
      </c>
      <c r="C149" s="12" t="s">
        <v>626</v>
      </c>
      <c r="D149" s="156">
        <v>3687.4285714285716</v>
      </c>
      <c r="E149" s="156">
        <v>3681.4285714285716</v>
      </c>
      <c r="F149" s="156">
        <v>3668.4285714285716</v>
      </c>
      <c r="G149" s="156">
        <v>3648</v>
      </c>
      <c r="H149" s="156">
        <v>3652.1428571428573</v>
      </c>
      <c r="I149" s="156">
        <v>3665.5714285714284</v>
      </c>
      <c r="J149" s="156">
        <v>3693.8571428571427</v>
      </c>
      <c r="K149" s="156">
        <v>3681.2857142857142</v>
      </c>
      <c r="L149" s="156">
        <v>3695.4285714285716</v>
      </c>
      <c r="M149" s="156">
        <v>3679.2857142857142</v>
      </c>
      <c r="N149" s="156">
        <v>3689.1428571428573</v>
      </c>
      <c r="O149" s="156">
        <v>3675.4285714285716</v>
      </c>
      <c r="P149" s="156">
        <v>3683.4285714285716</v>
      </c>
      <c r="Q149" s="3"/>
      <c r="R149" s="3"/>
      <c r="Z149" s="163" t="s">
        <v>32</v>
      </c>
      <c r="AA149" s="163"/>
      <c r="AB149" s="163"/>
      <c r="AC149" s="163"/>
    </row>
    <row r="150" spans="2:29" ht="15" customHeight="1" x14ac:dyDescent="0.35">
      <c r="B150" s="162"/>
      <c r="C150" s="1" t="s">
        <v>252</v>
      </c>
      <c r="D150" s="86">
        <v>3668.4285714285716</v>
      </c>
      <c r="E150" s="153">
        <v>3673.2857142857142</v>
      </c>
      <c r="F150" s="153">
        <v>3668.5714285714284</v>
      </c>
      <c r="G150" s="153">
        <v>3651.1428571428573</v>
      </c>
      <c r="H150" s="86">
        <v>3666.7142857142858</v>
      </c>
      <c r="I150" s="153">
        <v>3682.2857142857142</v>
      </c>
      <c r="J150" s="153">
        <v>3678.5714285714284</v>
      </c>
      <c r="K150" s="153">
        <v>3668.5714285714284</v>
      </c>
      <c r="L150" s="153">
        <v>3661.4285714285716</v>
      </c>
      <c r="M150" s="153">
        <v>3668.4285714285716</v>
      </c>
      <c r="N150" s="153">
        <v>3672.7142857142858</v>
      </c>
      <c r="O150" s="153">
        <v>3668.2857142857142</v>
      </c>
      <c r="P150" s="153">
        <v>3666.5714285714284</v>
      </c>
      <c r="Q150" s="3"/>
      <c r="R150" s="3"/>
      <c r="Z150" s="163"/>
      <c r="AA150" s="163"/>
      <c r="AB150" s="163"/>
      <c r="AC150" s="163"/>
    </row>
    <row r="151" spans="2:29" ht="7.5" customHeight="1" x14ac:dyDescent="0.35">
      <c r="B151" s="162"/>
      <c r="C151" s="1"/>
      <c r="D151" s="30">
        <v>0.85</v>
      </c>
      <c r="E151" s="30">
        <v>0.85</v>
      </c>
      <c r="F151" s="30">
        <v>0.85</v>
      </c>
      <c r="G151" s="30">
        <v>0.85</v>
      </c>
      <c r="H151" s="30">
        <v>0.85</v>
      </c>
      <c r="I151" s="30">
        <v>0.85</v>
      </c>
      <c r="J151" s="30">
        <v>0.85</v>
      </c>
      <c r="K151" s="30">
        <v>0.85</v>
      </c>
      <c r="L151" s="30">
        <v>0.85</v>
      </c>
      <c r="M151" s="30">
        <v>0.85</v>
      </c>
      <c r="N151" s="30">
        <v>0.85</v>
      </c>
      <c r="O151" s="30">
        <v>0.85</v>
      </c>
      <c r="P151" s="30">
        <v>0.85</v>
      </c>
      <c r="Q151" s="3"/>
      <c r="R151" s="3"/>
      <c r="Z151" s="163"/>
      <c r="AA151" s="163"/>
      <c r="AB151" s="163"/>
      <c r="AC151" s="163"/>
    </row>
    <row r="152" spans="2:29" ht="15" customHeight="1" x14ac:dyDescent="0.35">
      <c r="B152" s="162"/>
      <c r="C152" s="16" t="s">
        <v>294</v>
      </c>
      <c r="D152" s="151">
        <f>IFERROR(VLOOKUP(D$4,'Critical care'!$CS$5:$DA$18,2,FALSE),"")</f>
        <v>4415.1428571428569</v>
      </c>
      <c r="E152" s="149">
        <f>IFERROR(VLOOKUP(E$4,'Critical care'!$CS$5:$DA$18,2,FALSE),"")</f>
        <v>4430.7142857142853</v>
      </c>
      <c r="F152" s="149">
        <f>IFERROR(VLOOKUP(F$4,'Critical care'!$CS$5:$DA$18,2,FALSE),"")</f>
        <v>4303.2857142857147</v>
      </c>
      <c r="G152" s="149">
        <f>IFERROR(VLOOKUP(G$4,'Critical care'!$CS$5:$DA$18,2,FALSE),"")</f>
        <v>4393.8571428571431</v>
      </c>
      <c r="H152" s="151">
        <f>IFERROR(VLOOKUP(H$4,'Critical care'!$CS$5:$DA$18,2,FALSE),"")</f>
        <v>4672.1428571428569</v>
      </c>
      <c r="I152" s="149">
        <f>IFERROR(VLOOKUP(I$4,'Critical care'!$CS$5:$DA$18,2,FALSE),"")</f>
        <v>5134.5714285714284</v>
      </c>
      <c r="J152" s="149">
        <f>IFERROR(VLOOKUP(J$4,'Critical care'!$CS$5:$DA$18,2,FALSE),"")</f>
        <v>5676.7142857142853</v>
      </c>
      <c r="K152" s="149">
        <f>IFERROR(VLOOKUP(K$4,'Critical care'!$CS$5:$DA$18,2,FALSE),"")</f>
        <v>6057.4285714285716</v>
      </c>
      <c r="L152" s="149">
        <f>IFERROR(VLOOKUP(L$4,'Critical care'!$CS$5:$DA$18,2,FALSE),"")</f>
        <v>6152.7142857142853</v>
      </c>
      <c r="M152" s="149">
        <f>IFERROR(VLOOKUP(M$4,'Critical care'!$CS$5:$DA$18,2,FALSE),"")</f>
        <v>6051.8571428571431</v>
      </c>
      <c r="N152" s="149">
        <f>IFERROR(VLOOKUP(N$4,'Critical care'!$CS$5:$DA$18,2,FALSE),"")</f>
        <v>5837.1428571428569</v>
      </c>
      <c r="O152" s="149">
        <f>IFERROR(VLOOKUP(O$4,'Critical care'!$CS$5:$DA$18,2,FALSE),"")</f>
        <v>5600.8571428571431</v>
      </c>
      <c r="P152" s="149">
        <f>IFERROR(VLOOKUP(P$4,'Critical care'!$CS$5:$DA$18,2,FALSE),"")</f>
        <v>5309.7142857142853</v>
      </c>
      <c r="Q152" s="3"/>
      <c r="R152" s="3"/>
      <c r="Z152" s="163"/>
      <c r="AA152" s="163"/>
      <c r="AB152" s="163"/>
      <c r="AC152" s="163"/>
    </row>
    <row r="153" spans="2:29" ht="15" customHeight="1" x14ac:dyDescent="0.35">
      <c r="B153" s="162"/>
      <c r="C153" s="1" t="s">
        <v>1</v>
      </c>
      <c r="D153" s="152">
        <f>IFERROR(VLOOKUP(D$4,'Critical care'!$CS$5:$DA$18,3,FALSE),"")</f>
        <v>990</v>
      </c>
      <c r="E153" s="152">
        <f>IFERROR(VLOOKUP(E$4,'Critical care'!$CS$5:$DA$18,3,FALSE),"")</f>
        <v>1007.2857142857143</v>
      </c>
      <c r="F153" s="152">
        <f>IFERROR(VLOOKUP(F$4,'Critical care'!$CS$5:$DA$18,3,FALSE),"")</f>
        <v>990</v>
      </c>
      <c r="G153" s="152">
        <f>IFERROR(VLOOKUP(G$4,'Critical care'!$CS$5:$DA$18,3,FALSE),"")</f>
        <v>1025.7142857142858</v>
      </c>
      <c r="H153" s="152">
        <f>IFERROR(VLOOKUP(H$4,'Critical care'!$CS$5:$DA$18,3,FALSE),"")</f>
        <v>1157.8571428571429</v>
      </c>
      <c r="I153" s="152">
        <f>IFERROR(VLOOKUP(I$4,'Critical care'!$CS$5:$DA$18,3,FALSE),"")</f>
        <v>1370.2857142857142</v>
      </c>
      <c r="J153" s="152">
        <f>IFERROR(VLOOKUP(J$4,'Critical care'!$CS$5:$DA$18,3,FALSE),"")</f>
        <v>1553.1428571428571</v>
      </c>
      <c r="K153" s="152">
        <f>IFERROR(VLOOKUP(K$4,'Critical care'!$CS$5:$DA$18,3,FALSE),"")</f>
        <v>1615.7142857142858</v>
      </c>
      <c r="L153" s="152">
        <f>IFERROR(VLOOKUP(L$4,'Critical care'!$CS$5:$DA$18,3,FALSE),"")</f>
        <v>1625.5714285714287</v>
      </c>
      <c r="M153" s="152">
        <f>IFERROR(VLOOKUP(M$4,'Critical care'!$CS$5:$DA$18,3,FALSE),"")</f>
        <v>1595.7142857142858</v>
      </c>
      <c r="N153" s="152">
        <f>IFERROR(VLOOKUP(N$4,'Critical care'!$CS$5:$DA$18,3,FALSE),"")</f>
        <v>1528.2857142857142</v>
      </c>
      <c r="O153" s="152">
        <f>IFERROR(VLOOKUP(O$4,'Critical care'!$CS$5:$DA$18,3,FALSE),"")</f>
        <v>1421.1428571428571</v>
      </c>
      <c r="P153" s="152">
        <f>IFERROR(VLOOKUP(P$4,'Critical care'!$CS$5:$DA$18,3,FALSE),"")</f>
        <v>1297.5714285714287</v>
      </c>
      <c r="Q153" s="3"/>
      <c r="R153" s="3"/>
      <c r="Z153" s="160" t="s">
        <v>630</v>
      </c>
      <c r="AA153" s="160"/>
      <c r="AB153" s="160"/>
      <c r="AC153" s="160"/>
    </row>
    <row r="154" spans="2:29" ht="15" customHeight="1" x14ac:dyDescent="0.35">
      <c r="B154" s="162"/>
      <c r="C154" s="1" t="s">
        <v>226</v>
      </c>
      <c r="D154" s="150">
        <f>IFERROR(VLOOKUP(D$4,'Critical care'!$CS$5:$DA$18,4,FALSE),"")</f>
        <v>724.42857142857144</v>
      </c>
      <c r="E154" s="150">
        <f>IFERROR(VLOOKUP(E$4,'Critical care'!$CS$5:$DA$18,4,FALSE),"")</f>
        <v>792.42857142857144</v>
      </c>
      <c r="F154" s="150">
        <f>IFERROR(VLOOKUP(F$4,'Critical care'!$CS$5:$DA$18,4,FALSE),"")</f>
        <v>754.42857142857144</v>
      </c>
      <c r="G154" s="150">
        <f>IFERROR(VLOOKUP(G$4,'Critical care'!$CS$5:$DA$18,4,FALSE),"")</f>
        <v>760.71428571428567</v>
      </c>
      <c r="H154" s="150">
        <f>IFERROR(VLOOKUP(H$4,'Critical care'!$CS$5:$DA$18,4,FALSE),"")</f>
        <v>772.14285714285711</v>
      </c>
      <c r="I154" s="150">
        <f>IFERROR(VLOOKUP(I$4,'Critical care'!$CS$5:$DA$18,4,FALSE),"")</f>
        <v>816.57142857142856</v>
      </c>
      <c r="J154" s="150">
        <f>IFERROR(VLOOKUP(J$4,'Critical care'!$CS$5:$DA$18,4,FALSE),"")</f>
        <v>894.85714285714289</v>
      </c>
      <c r="K154" s="152">
        <f>IFERROR(VLOOKUP(K$4,'Critical care'!$CS$5:$DA$18,4,FALSE),"")</f>
        <v>1003.7142857142857</v>
      </c>
      <c r="L154" s="152">
        <f>IFERROR(VLOOKUP(L$4,'Critical care'!$CS$5:$DA$18,4,FALSE),"")</f>
        <v>1031</v>
      </c>
      <c r="M154" s="152">
        <f>IFERROR(VLOOKUP(M$4,'Critical care'!$CS$5:$DA$18,4,FALSE),"")</f>
        <v>1023.7142857142857</v>
      </c>
      <c r="N154" s="150">
        <f>IFERROR(VLOOKUP(N$4,'Critical care'!$CS$5:$DA$18,4,FALSE),"")</f>
        <v>980.71428571428567</v>
      </c>
      <c r="O154" s="150">
        <f>IFERROR(VLOOKUP(O$4,'Critical care'!$CS$5:$DA$18,4,FALSE),"")</f>
        <v>925.14285714285711</v>
      </c>
      <c r="P154" s="150">
        <f>IFERROR(VLOOKUP(P$4,'Critical care'!$CS$5:$DA$18,4,FALSE),"")</f>
        <v>887.28571428571433</v>
      </c>
      <c r="Q154" s="3"/>
      <c r="R154" s="3"/>
      <c r="Z154" s="160"/>
      <c r="AA154" s="160"/>
      <c r="AB154" s="160"/>
      <c r="AC154" s="160"/>
    </row>
    <row r="155" spans="2:29" ht="15" customHeight="1" x14ac:dyDescent="0.35">
      <c r="B155" s="162"/>
      <c r="C155" s="1" t="s">
        <v>253</v>
      </c>
      <c r="D155" s="150">
        <f>IFERROR(VLOOKUP(D$4,'Critical care'!$CS$5:$DA$18,8,FALSE),"")</f>
        <v>395.71428571428572</v>
      </c>
      <c r="E155" s="150">
        <f>IFERROR(VLOOKUP(E$4,'Critical care'!$CS$5:$DA$18,8,FALSE),"")</f>
        <v>383.28571428571428</v>
      </c>
      <c r="F155" s="150">
        <f>IFERROR(VLOOKUP(F$4,'Critical care'!$CS$5:$DA$18,8,FALSE),"")</f>
        <v>384.42857142857144</v>
      </c>
      <c r="G155" s="150">
        <f>IFERROR(VLOOKUP(G$4,'Critical care'!$CS$5:$DA$18,8,FALSE),"")</f>
        <v>436</v>
      </c>
      <c r="H155" s="150">
        <f>IFERROR(VLOOKUP(H$4,'Critical care'!$CS$5:$DA$18,8,FALSE),"")</f>
        <v>501.14285714285717</v>
      </c>
      <c r="I155" s="150">
        <f>IFERROR(VLOOKUP(I$4,'Critical care'!$CS$5:$DA$18,8,FALSE),"")</f>
        <v>576.71428571428567</v>
      </c>
      <c r="J155" s="150">
        <f>IFERROR(VLOOKUP(J$4,'Critical care'!$CS$5:$DA$18,8,FALSE),"")</f>
        <v>626.85714285714289</v>
      </c>
      <c r="K155" s="150">
        <f>IFERROR(VLOOKUP(K$4,'Critical care'!$CS$5:$DA$18,8,FALSE),"")</f>
        <v>648</v>
      </c>
      <c r="L155" s="150">
        <f>IFERROR(VLOOKUP(L$4,'Critical care'!$CS$5:$DA$18,8,FALSE),"")</f>
        <v>643.57142857142856</v>
      </c>
      <c r="M155" s="150">
        <f>IFERROR(VLOOKUP(M$4,'Critical care'!$CS$5:$DA$18,8,FALSE),"")</f>
        <v>614.71428571428567</v>
      </c>
      <c r="N155" s="150">
        <f>IFERROR(VLOOKUP(N$4,'Critical care'!$CS$5:$DA$18,8,FALSE),"")</f>
        <v>575.42857142857144</v>
      </c>
      <c r="O155" s="150">
        <f>IFERROR(VLOOKUP(O$4,'Critical care'!$CS$5:$DA$18,8,FALSE),"")</f>
        <v>535.57142857142856</v>
      </c>
      <c r="P155" s="150">
        <f>IFERROR(VLOOKUP(P$4,'Critical care'!$CS$5:$DA$18,8,FALSE),"")</f>
        <v>495.57142857142856</v>
      </c>
      <c r="Q155" s="3"/>
      <c r="R155" s="3"/>
      <c r="Z155" s="160"/>
      <c r="AA155" s="160"/>
      <c r="AB155" s="160"/>
      <c r="AC155" s="160"/>
    </row>
    <row r="156" spans="2:29" ht="15" customHeight="1" x14ac:dyDescent="0.35">
      <c r="B156" s="162"/>
      <c r="C156" s="1" t="s">
        <v>254</v>
      </c>
      <c r="D156" s="150">
        <f>IFERROR(VLOOKUP(D$4,'Critical care'!$CS$5:$DA$18,5,FALSE),"")</f>
        <v>735.42857142857144</v>
      </c>
      <c r="E156" s="150">
        <f>IFERROR(VLOOKUP(E$4,'Critical care'!$CS$5:$DA$18,5,FALSE),"")</f>
        <v>723</v>
      </c>
      <c r="F156" s="150">
        <f>IFERROR(VLOOKUP(F$4,'Critical care'!$CS$5:$DA$18,5,FALSE),"")</f>
        <v>707</v>
      </c>
      <c r="G156" s="150">
        <f>IFERROR(VLOOKUP(G$4,'Critical care'!$CS$5:$DA$18,5,FALSE),"")</f>
        <v>691.57142857142856</v>
      </c>
      <c r="H156" s="150">
        <f>IFERROR(VLOOKUP(H$4,'Critical care'!$CS$5:$DA$18,5,FALSE),"")</f>
        <v>688.14285714285711</v>
      </c>
      <c r="I156" s="150">
        <f>IFERROR(VLOOKUP(I$4,'Critical care'!$CS$5:$DA$18,5,FALSE),"")</f>
        <v>727.71428571428567</v>
      </c>
      <c r="J156" s="150">
        <f>IFERROR(VLOOKUP(J$4,'Critical care'!$CS$5:$DA$18,5,FALSE),"")</f>
        <v>779.85714285714289</v>
      </c>
      <c r="K156" s="150">
        <f>IFERROR(VLOOKUP(K$4,'Critical care'!$CS$5:$DA$18,5,FALSE),"")</f>
        <v>810.57142857142856</v>
      </c>
      <c r="L156" s="150">
        <f>IFERROR(VLOOKUP(L$4,'Critical care'!$CS$5:$DA$18,5,FALSE),"")</f>
        <v>836</v>
      </c>
      <c r="M156" s="150">
        <f>IFERROR(VLOOKUP(M$4,'Critical care'!$CS$5:$DA$18,5,FALSE),"")</f>
        <v>847.14285714285711</v>
      </c>
      <c r="N156" s="150">
        <f>IFERROR(VLOOKUP(N$4,'Critical care'!$CS$5:$DA$18,5,FALSE),"")</f>
        <v>828.28571428571433</v>
      </c>
      <c r="O156" s="150">
        <f>IFERROR(VLOOKUP(O$4,'Critical care'!$CS$5:$DA$18,5,FALSE),"")</f>
        <v>839.42857142857144</v>
      </c>
      <c r="P156" s="150">
        <f>IFERROR(VLOOKUP(P$4,'Critical care'!$CS$5:$DA$18,5,FALSE),"")</f>
        <v>829.42857142857144</v>
      </c>
      <c r="Q156" s="3"/>
      <c r="R156" s="3"/>
      <c r="Z156" s="160"/>
      <c r="AA156" s="160"/>
      <c r="AB156" s="160"/>
      <c r="AC156" s="160"/>
    </row>
    <row r="157" spans="2:29" ht="15" customHeight="1" x14ac:dyDescent="0.35">
      <c r="B157" s="162"/>
      <c r="C157" s="1" t="s">
        <v>256</v>
      </c>
      <c r="D157" s="150">
        <f>IFERROR(VLOOKUP(D$4,'Critical care'!$CS$5:$DA$18,9,FALSE),"")</f>
        <v>613.28571428571433</v>
      </c>
      <c r="E157" s="150">
        <f>IFERROR(VLOOKUP(E$4,'Critical care'!$CS$5:$DA$18,9,FALSE),"")</f>
        <v>608.14285714285711</v>
      </c>
      <c r="F157" s="150">
        <f>IFERROR(VLOOKUP(F$4,'Critical care'!$CS$5:$DA$18,9,FALSE),"")</f>
        <v>588</v>
      </c>
      <c r="G157" s="150">
        <f>IFERROR(VLOOKUP(G$4,'Critical care'!$CS$5:$DA$18,9,FALSE),"")</f>
        <v>579.42857142857144</v>
      </c>
      <c r="H157" s="150">
        <f>IFERROR(VLOOKUP(H$4,'Critical care'!$CS$5:$DA$18,9,FALSE),"")</f>
        <v>580</v>
      </c>
      <c r="I157" s="150">
        <f>IFERROR(VLOOKUP(I$4,'Critical care'!$CS$5:$DA$18,9,FALSE),"")</f>
        <v>590.42857142857144</v>
      </c>
      <c r="J157" s="150">
        <f>IFERROR(VLOOKUP(J$4,'Critical care'!$CS$5:$DA$18,9,FALSE),"")</f>
        <v>628.85714285714289</v>
      </c>
      <c r="K157" s="150">
        <f>IFERROR(VLOOKUP(K$4,'Critical care'!$CS$5:$DA$18,9,FALSE),"")</f>
        <v>684.14285714285711</v>
      </c>
      <c r="L157" s="150">
        <f>IFERROR(VLOOKUP(L$4,'Critical care'!$CS$5:$DA$18,9,FALSE),"")</f>
        <v>720.57142857142856</v>
      </c>
      <c r="M157" s="150">
        <f>IFERROR(VLOOKUP(M$4,'Critical care'!$CS$5:$DA$18,9,FALSE),"")</f>
        <v>717.14285714285711</v>
      </c>
      <c r="N157" s="150">
        <f>IFERROR(VLOOKUP(N$4,'Critical care'!$CS$5:$DA$18,9,FALSE),"")</f>
        <v>706.14285714285711</v>
      </c>
      <c r="O157" s="150">
        <f>IFERROR(VLOOKUP(O$4,'Critical care'!$CS$5:$DA$18,9,FALSE),"")</f>
        <v>704</v>
      </c>
      <c r="P157" s="150">
        <f>IFERROR(VLOOKUP(P$4,'Critical care'!$CS$5:$DA$18,9,FALSE),"")</f>
        <v>672.42857142857144</v>
      </c>
      <c r="Q157" s="3"/>
      <c r="R157" s="3"/>
      <c r="Z157" s="160"/>
      <c r="AA157" s="160"/>
      <c r="AB157" s="160"/>
      <c r="AC157" s="160"/>
    </row>
    <row r="158" spans="2:29" ht="15" customHeight="1" x14ac:dyDescent="0.35">
      <c r="B158" s="162"/>
      <c r="C158" s="1" t="s">
        <v>223</v>
      </c>
      <c r="D158" s="150">
        <f>IFERROR(VLOOKUP(D$4,'Critical care'!$CS$5:$DA$18,6,FALSE),"")</f>
        <v>569.57142857142856</v>
      </c>
      <c r="E158" s="150">
        <f>IFERROR(VLOOKUP(E$4,'Critical care'!$CS$5:$DA$18,6,FALSE),"")</f>
        <v>568</v>
      </c>
      <c r="F158" s="150">
        <f>IFERROR(VLOOKUP(F$4,'Critical care'!$CS$5:$DA$18,6,FALSE),"")</f>
        <v>564.71428571428567</v>
      </c>
      <c r="G158" s="150">
        <f>IFERROR(VLOOKUP(G$4,'Critical care'!$CS$5:$DA$18,6,FALSE),"")</f>
        <v>583.28571428571433</v>
      </c>
      <c r="H158" s="150">
        <f>IFERROR(VLOOKUP(H$4,'Critical care'!$CS$5:$DA$18,6,FALSE),"")</f>
        <v>645</v>
      </c>
      <c r="I158" s="150">
        <f>IFERROR(VLOOKUP(I$4,'Critical care'!$CS$5:$DA$18,6,FALSE),"")</f>
        <v>711.28571428571433</v>
      </c>
      <c r="J158" s="150">
        <f>IFERROR(VLOOKUP(J$4,'Critical care'!$CS$5:$DA$18,6,FALSE),"")</f>
        <v>806.14285714285711</v>
      </c>
      <c r="K158" s="150">
        <f>IFERROR(VLOOKUP(K$4,'Critical care'!$CS$5:$DA$18,6,FALSE),"")</f>
        <v>881</v>
      </c>
      <c r="L158" s="150">
        <f>IFERROR(VLOOKUP(L$4,'Critical care'!$CS$5:$DA$18,6,FALSE),"")</f>
        <v>867.57142857142856</v>
      </c>
      <c r="M158" s="150">
        <f>IFERROR(VLOOKUP(M$4,'Critical care'!$CS$5:$DA$18,6,FALSE),"")</f>
        <v>831.85714285714289</v>
      </c>
      <c r="N158" s="150">
        <f>IFERROR(VLOOKUP(N$4,'Critical care'!$CS$5:$DA$18,6,FALSE),"")</f>
        <v>809.85714285714289</v>
      </c>
      <c r="O158" s="150">
        <f>IFERROR(VLOOKUP(O$4,'Critical care'!$CS$5:$DA$18,6,FALSE),"")</f>
        <v>781.28571428571433</v>
      </c>
      <c r="P158" s="150">
        <f>IFERROR(VLOOKUP(P$4,'Critical care'!$CS$5:$DA$18,6,FALSE),"")</f>
        <v>740.85714285714289</v>
      </c>
      <c r="Q158" s="3"/>
      <c r="R158" s="3"/>
      <c r="Z158" s="160"/>
      <c r="AA158" s="160"/>
      <c r="AB158" s="160"/>
      <c r="AC158" s="160"/>
    </row>
    <row r="159" spans="2:29" ht="15" customHeight="1" x14ac:dyDescent="0.35">
      <c r="B159" s="162"/>
      <c r="C159" s="11" t="s">
        <v>224</v>
      </c>
      <c r="D159" s="150">
        <f>IFERROR(VLOOKUP(D$4,'Critical care'!$CS$5:$DA$18,7,FALSE),"")</f>
        <v>386.71428571428572</v>
      </c>
      <c r="E159" s="150">
        <f>IFERROR(VLOOKUP(E$4,'Critical care'!$CS$5:$DA$18,7,FALSE),"")</f>
        <v>348.57142857142856</v>
      </c>
      <c r="F159" s="150">
        <f>IFERROR(VLOOKUP(F$4,'Critical care'!$CS$5:$DA$18,7,FALSE),"")</f>
        <v>314.71428571428572</v>
      </c>
      <c r="G159" s="150">
        <f>IFERROR(VLOOKUP(G$4,'Critical care'!$CS$5:$DA$18,7,FALSE),"")</f>
        <v>317.14285714285717</v>
      </c>
      <c r="H159" s="150">
        <f>IFERROR(VLOOKUP(H$4,'Critical care'!$CS$5:$DA$18,7,FALSE),"")</f>
        <v>327.85714285714283</v>
      </c>
      <c r="I159" s="150">
        <f>IFERROR(VLOOKUP(I$4,'Critical care'!$CS$5:$DA$18,7,FALSE),"")</f>
        <v>341.57142857142856</v>
      </c>
      <c r="J159" s="150">
        <f>IFERROR(VLOOKUP(J$4,'Critical care'!$CS$5:$DA$18,7,FALSE),"")</f>
        <v>387</v>
      </c>
      <c r="K159" s="150">
        <f>IFERROR(VLOOKUP(K$4,'Critical care'!$CS$5:$DA$18,7,FALSE),"")</f>
        <v>414.28571428571428</v>
      </c>
      <c r="L159" s="150">
        <f>IFERROR(VLOOKUP(L$4,'Critical care'!$CS$5:$DA$18,7,FALSE),"")</f>
        <v>428.42857142857144</v>
      </c>
      <c r="M159" s="150">
        <f>IFERROR(VLOOKUP(M$4,'Critical care'!$CS$5:$DA$18,7,FALSE),"")</f>
        <v>421.57142857142856</v>
      </c>
      <c r="N159" s="150">
        <f>IFERROR(VLOOKUP(N$4,'Critical care'!$CS$5:$DA$18,7,FALSE),"")</f>
        <v>408.42857142857144</v>
      </c>
      <c r="O159" s="150">
        <f>IFERROR(VLOOKUP(O$4,'Critical care'!$CS$5:$DA$18,7,FALSE),"")</f>
        <v>394.28571428571428</v>
      </c>
      <c r="P159" s="150">
        <f>IFERROR(VLOOKUP(P$4,'Critical care'!$CS$5:$DA$18,7,FALSE),"")</f>
        <v>386.57142857142856</v>
      </c>
      <c r="Q159" s="3"/>
      <c r="R159" s="3"/>
      <c r="Z159" s="160"/>
      <c r="AA159" s="160"/>
      <c r="AB159" s="160"/>
      <c r="AC159" s="160"/>
    </row>
    <row r="160" spans="2:29" ht="9.5" customHeight="1" x14ac:dyDescent="0.35">
      <c r="B160" s="162"/>
      <c r="C160" s="11"/>
      <c r="D160" s="154"/>
      <c r="E160" s="154"/>
      <c r="F160" s="154"/>
      <c r="G160" s="154"/>
      <c r="H160" s="154"/>
      <c r="I160" s="154"/>
      <c r="J160" s="154"/>
      <c r="K160" s="154"/>
      <c r="L160" s="154"/>
      <c r="M160" s="154"/>
      <c r="N160" s="154"/>
      <c r="O160" s="154"/>
      <c r="P160" s="154"/>
      <c r="Q160" s="3"/>
      <c r="R160" s="3"/>
      <c r="Z160" s="160"/>
      <c r="AA160" s="160"/>
      <c r="AB160" s="160"/>
      <c r="AC160" s="160"/>
    </row>
    <row r="161" spans="2:29" ht="15" customHeight="1" x14ac:dyDescent="0.35">
      <c r="B161" s="162"/>
      <c r="C161" s="1" t="s">
        <v>216</v>
      </c>
      <c r="D161" s="169" t="s">
        <v>252</v>
      </c>
      <c r="E161" s="170"/>
      <c r="F161" s="171"/>
      <c r="G161" s="169" t="s">
        <v>620</v>
      </c>
      <c r="H161" s="170"/>
      <c r="I161" s="170"/>
      <c r="J161" s="170"/>
      <c r="K161" s="164" t="s">
        <v>294</v>
      </c>
      <c r="L161" s="165"/>
      <c r="M161" s="165"/>
      <c r="N161" s="166" t="str">
        <f>TEXT('Critical care'!DU5,"0,0")&amp;" ("&amp;TEXT('Critical care'!DW5,"d-mmm")&amp;")"</f>
        <v>6,227 (26-Jan)</v>
      </c>
      <c r="O161" s="166"/>
      <c r="P161" s="166"/>
      <c r="Q161" s="3"/>
      <c r="R161" s="3"/>
      <c r="Z161" s="160"/>
      <c r="AA161" s="160"/>
      <c r="AB161" s="160"/>
      <c r="AC161" s="160"/>
    </row>
    <row r="162" spans="2:29" ht="14.5" customHeight="1" x14ac:dyDescent="0.35">
      <c r="B162" s="162"/>
      <c r="C162" s="11"/>
      <c r="Q162" s="3"/>
      <c r="R162" s="3"/>
      <c r="Z162" s="160"/>
      <c r="AA162" s="160"/>
      <c r="AB162" s="160"/>
      <c r="AC162" s="160"/>
    </row>
    <row r="163" spans="2:29" ht="12" customHeight="1" x14ac:dyDescent="0.35">
      <c r="B163" s="162"/>
      <c r="C163" s="12" t="s">
        <v>625</v>
      </c>
      <c r="D163" s="157">
        <v>3028.8571428571427</v>
      </c>
      <c r="E163" s="157">
        <v>2993.1428571428573</v>
      </c>
      <c r="F163" s="157">
        <v>2969.4285714285716</v>
      </c>
      <c r="G163" s="157">
        <v>2800.8571428571427</v>
      </c>
      <c r="H163" s="157">
        <v>3041.7142857142858</v>
      </c>
      <c r="I163" s="157">
        <v>3124.1428571428573</v>
      </c>
      <c r="J163" s="157">
        <v>3148.7142857142858</v>
      </c>
      <c r="K163" s="157">
        <v>3139.4285714285716</v>
      </c>
      <c r="L163" s="157">
        <v>3164.2857142857142</v>
      </c>
      <c r="M163" s="157">
        <v>3151.5714285714284</v>
      </c>
      <c r="N163" s="157">
        <v>3140</v>
      </c>
      <c r="O163" s="157">
        <v>3065</v>
      </c>
      <c r="P163" s="157">
        <v>3038.7142857142858</v>
      </c>
      <c r="Q163" s="3"/>
      <c r="R163" s="3"/>
      <c r="Z163" s="160"/>
      <c r="AA163" s="160"/>
      <c r="AB163" s="160"/>
      <c r="AC163" s="160"/>
    </row>
    <row r="164" spans="2:29" ht="15" customHeight="1" x14ac:dyDescent="0.35">
      <c r="B164" s="162"/>
      <c r="C164" s="1" t="s">
        <v>252</v>
      </c>
      <c r="D164" s="86">
        <v>3047.8571428571427</v>
      </c>
      <c r="E164" s="153">
        <v>3077.7142857142858</v>
      </c>
      <c r="F164" s="153">
        <v>3086.1428571428573</v>
      </c>
      <c r="G164" s="153">
        <v>2870.2857142857142</v>
      </c>
      <c r="H164" s="86">
        <v>3019.7142857142858</v>
      </c>
      <c r="I164" s="153">
        <v>3110.8571428571427</v>
      </c>
      <c r="J164" s="153">
        <v>3060.7142857142858</v>
      </c>
      <c r="K164" s="153">
        <v>3004.8571428571427</v>
      </c>
      <c r="L164" s="153">
        <v>3010.7142857142858</v>
      </c>
      <c r="M164" s="153">
        <v>2985.1428571428573</v>
      </c>
      <c r="N164" s="153">
        <v>2997.5714285714284</v>
      </c>
      <c r="O164" s="153">
        <v>2973</v>
      </c>
      <c r="P164" s="153">
        <v>2997.4285714285716</v>
      </c>
      <c r="Q164" s="3"/>
      <c r="R164" s="3"/>
      <c r="Z164" s="160"/>
      <c r="AA164" s="160"/>
      <c r="AB164" s="160"/>
      <c r="AC164" s="160"/>
    </row>
    <row r="165" spans="2:29" ht="7" customHeight="1" x14ac:dyDescent="0.35">
      <c r="B165" s="162"/>
      <c r="C165" s="1"/>
      <c r="D165" s="30">
        <v>0.85</v>
      </c>
      <c r="E165" s="30">
        <v>0.85</v>
      </c>
      <c r="F165" s="30">
        <v>0.85</v>
      </c>
      <c r="G165" s="30">
        <v>0.85</v>
      </c>
      <c r="H165" s="30">
        <v>0.85</v>
      </c>
      <c r="I165" s="30">
        <v>0.85</v>
      </c>
      <c r="J165" s="30">
        <v>0.85</v>
      </c>
      <c r="K165" s="30">
        <v>0.85</v>
      </c>
      <c r="L165" s="30">
        <v>0.85</v>
      </c>
      <c r="M165" s="30">
        <v>0.85</v>
      </c>
      <c r="N165" s="30">
        <v>0.85</v>
      </c>
      <c r="O165" s="30">
        <v>0.85</v>
      </c>
      <c r="P165" s="30">
        <v>0.85</v>
      </c>
      <c r="Q165" s="3"/>
      <c r="R165" s="3"/>
      <c r="Z165" s="160"/>
      <c r="AA165" s="160"/>
      <c r="AB165" s="160"/>
      <c r="AC165" s="160"/>
    </row>
    <row r="166" spans="2:29" ht="15" customHeight="1" x14ac:dyDescent="0.35">
      <c r="B166" s="162"/>
      <c r="C166" s="16" t="s">
        <v>294</v>
      </c>
      <c r="D166" s="151">
        <f>IFERROR(VLOOKUP(D$4,'Critical care'!$DD$6:$DL$18,2,FALSE),"")</f>
        <v>3254.7142857142858</v>
      </c>
      <c r="E166" s="151">
        <f>IFERROR(VLOOKUP(E$4,'Critical care'!$DD$6:$DL$18,2,FALSE),"")</f>
        <v>3330.5714285714284</v>
      </c>
      <c r="F166" s="151">
        <f>IFERROR(VLOOKUP(F$4,'Critical care'!$DD$6:$DL$18,2,FALSE),"")</f>
        <v>3315.2857142857142</v>
      </c>
      <c r="G166" s="151">
        <f>IFERROR(VLOOKUP(G$4,'Critical care'!$DD$6:$DL$18,2,FALSE),"")</f>
        <v>3340.1428571428573</v>
      </c>
      <c r="H166" s="151">
        <f>IFERROR(VLOOKUP(H$4,'Critical care'!$DD$6:$DL$18,2,FALSE),"")</f>
        <v>3716.5714285714284</v>
      </c>
      <c r="I166" s="151">
        <f>IFERROR(VLOOKUP(I$4,'Critical care'!$DD$6:$DL$18,2,FALSE),"")</f>
        <v>4283.7142857142853</v>
      </c>
      <c r="J166" s="151">
        <f>IFERROR(VLOOKUP(J$4,'Critical care'!$DD$6:$DL$18,2,FALSE),"")</f>
        <v>4909.2857142857147</v>
      </c>
      <c r="K166" s="151">
        <f>IFERROR(VLOOKUP(K$4,'Critical care'!$DD$6:$DL$18,2,FALSE),"")</f>
        <v>5278.1428571428569</v>
      </c>
      <c r="L166" s="151">
        <f>IFERROR(VLOOKUP(L$4,'Critical care'!$DD$6:$DL$18,2,FALSE),"")</f>
        <v>5302.2857142857147</v>
      </c>
      <c r="M166" s="151">
        <f>IFERROR(VLOOKUP(M$4,'Critical care'!$DD$6:$DL$18,2,FALSE),"")</f>
        <v>5038.7142857142853</v>
      </c>
      <c r="N166" s="151">
        <f>IFERROR(VLOOKUP(N$4,'Critical care'!$DD$6:$DL$18,2,FALSE),"")</f>
        <v>4654.5714285714284</v>
      </c>
      <c r="O166" s="151">
        <f>IFERROR(VLOOKUP(O$4,'Critical care'!$DD$6:$DL$18,2,FALSE),"")</f>
        <v>4334.2857142857147</v>
      </c>
      <c r="P166" s="151">
        <f>IFERROR(VLOOKUP(P$4,'Critical care'!$DD$6:$DL$18,2,FALSE),"")</f>
        <v>3996.7142857142858</v>
      </c>
      <c r="Q166" s="3"/>
      <c r="R166" s="3"/>
      <c r="Z166" s="160"/>
      <c r="AA166" s="160"/>
      <c r="AB166" s="160"/>
      <c r="AC166" s="160"/>
    </row>
    <row r="167" spans="2:29" ht="15" customHeight="1" x14ac:dyDescent="0.35">
      <c r="B167" s="162"/>
      <c r="C167" s="1" t="s">
        <v>1</v>
      </c>
      <c r="D167" s="152">
        <f>IFERROR(VLOOKUP(D$4,'Critical care'!$DD$6:$DL$18,3,FALSE),"")</f>
        <v>809.71428571428567</v>
      </c>
      <c r="E167" s="152">
        <f>IFERROR(VLOOKUP(E$4,'Critical care'!$DD$6:$DL$18,3,FALSE),"")</f>
        <v>838.71428571428567</v>
      </c>
      <c r="F167" s="152">
        <f>IFERROR(VLOOKUP(F$4,'Critical care'!$DD$6:$DL$18,3,FALSE),"")</f>
        <v>852.28571428571433</v>
      </c>
      <c r="G167" s="152">
        <f>IFERROR(VLOOKUP(G$4,'Critical care'!$DD$6:$DL$18,3,FALSE),"")</f>
        <v>910.14285714285711</v>
      </c>
      <c r="H167" s="152">
        <f>IFERROR(VLOOKUP(H$4,'Critical care'!$DD$6:$DL$18,3,FALSE),"")</f>
        <v>1015.8571428571429</v>
      </c>
      <c r="I167" s="152">
        <f>IFERROR(VLOOKUP(I$4,'Critical care'!$DD$6:$DL$18,3,FALSE),"")</f>
        <v>1204.1428571428571</v>
      </c>
      <c r="J167" s="152">
        <f>IFERROR(VLOOKUP(J$4,'Critical care'!$DD$6:$DL$18,3,FALSE),"")</f>
        <v>1440</v>
      </c>
      <c r="K167" s="152">
        <f>IFERROR(VLOOKUP(K$4,'Critical care'!$DD$6:$DL$18,3,FALSE),"")</f>
        <v>1505.7142857142858</v>
      </c>
      <c r="L167" s="152">
        <f>IFERROR(VLOOKUP(L$4,'Critical care'!$DD$6:$DL$18,3,FALSE),"")</f>
        <v>1502</v>
      </c>
      <c r="M167" s="152">
        <f>IFERROR(VLOOKUP(M$4,'Critical care'!$DD$6:$DL$18,3,FALSE),"")</f>
        <v>1433.7142857142858</v>
      </c>
      <c r="N167" s="152">
        <f>IFERROR(VLOOKUP(N$4,'Critical care'!$DD$6:$DL$18,3,FALSE),"")</f>
        <v>1328.7142857142858</v>
      </c>
      <c r="O167" s="152">
        <f>IFERROR(VLOOKUP(O$4,'Critical care'!$DD$6:$DL$18,3,FALSE),"")</f>
        <v>1205.8571428571429</v>
      </c>
      <c r="P167" s="152">
        <f>IFERROR(VLOOKUP(P$4,'Critical care'!$DD$6:$DL$18,3,FALSE),"")</f>
        <v>1083.4285714285713</v>
      </c>
      <c r="Q167" s="3"/>
      <c r="R167" s="3"/>
      <c r="Z167" s="160"/>
      <c r="AA167" s="160"/>
      <c r="AB167" s="160"/>
      <c r="AC167" s="160"/>
    </row>
    <row r="168" spans="2:29" ht="15" customHeight="1" x14ac:dyDescent="0.35">
      <c r="B168" s="162"/>
      <c r="C168" s="1" t="s">
        <v>226</v>
      </c>
      <c r="D168" s="150">
        <f>IFERROR(VLOOKUP(D$4,'Critical care'!$DD$5:$DL$18,4,FALSE),"")</f>
        <v>552.42857142857144</v>
      </c>
      <c r="E168" s="150">
        <f>IFERROR(VLOOKUP(E$4,'Critical care'!$DD$5:$DL$18,4,FALSE),"")</f>
        <v>583.57142857142856</v>
      </c>
      <c r="F168" s="150">
        <f>IFERROR(VLOOKUP(F$4,'Critical care'!$DD$5:$DL$18,4,FALSE),"")</f>
        <v>538</v>
      </c>
      <c r="G168" s="150">
        <f>IFERROR(VLOOKUP(G$4,'Critical care'!$DD$5:$DL$18,4,FALSE),"")</f>
        <v>533.14285714285711</v>
      </c>
      <c r="H168" s="150">
        <f>IFERROR(VLOOKUP(H$4,'Critical care'!$DD$5:$DL$18,4,FALSE),"")</f>
        <v>578.42857142857144</v>
      </c>
      <c r="I168" s="150">
        <f>IFERROR(VLOOKUP(I$4,'Critical care'!$DD$5:$DL$18,4,FALSE),"")</f>
        <v>654</v>
      </c>
      <c r="J168" s="150">
        <f>IFERROR(VLOOKUP(J$4,'Critical care'!$DD$5:$DL$18,4,FALSE),"")</f>
        <v>757</v>
      </c>
      <c r="K168" s="150">
        <f>IFERROR(VLOOKUP(K$4,'Critical care'!$DD$5:$DL$18,4,FALSE),"")</f>
        <v>864</v>
      </c>
      <c r="L168" s="150">
        <f>IFERROR(VLOOKUP(L$4,'Critical care'!$DD$5:$DL$18,4,FALSE),"")</f>
        <v>893.14285714285711</v>
      </c>
      <c r="M168" s="150">
        <f>IFERROR(VLOOKUP(M$4,'Critical care'!$DD$5:$DL$18,4,FALSE),"")</f>
        <v>857.85714285714289</v>
      </c>
      <c r="N168" s="150">
        <f>IFERROR(VLOOKUP(N$4,'Critical care'!$DD$5:$DL$18,4,FALSE),"")</f>
        <v>797.71428571428567</v>
      </c>
      <c r="O168" s="150">
        <f>IFERROR(VLOOKUP(O$4,'Critical care'!$DD$5:$DL$18,4,FALSE),"")</f>
        <v>728.28571428571433</v>
      </c>
      <c r="P168" s="150">
        <f>IFERROR(VLOOKUP(P$4,'Critical care'!$DD$5:$DL$18,4,FALSE),"")</f>
        <v>680.85714285714289</v>
      </c>
      <c r="Q168" s="3"/>
      <c r="R168" s="3"/>
      <c r="Z168" s="160"/>
      <c r="AA168" s="160"/>
      <c r="AB168" s="160"/>
      <c r="AC168" s="160"/>
    </row>
    <row r="169" spans="2:29" ht="15" customHeight="1" x14ac:dyDescent="0.35">
      <c r="B169" s="162"/>
      <c r="C169" s="1" t="s">
        <v>253</v>
      </c>
      <c r="D169" s="150">
        <f>IFERROR(VLOOKUP(D$4,'Critical care'!$DD$5:$DL$18,8,FALSE),"")</f>
        <v>279</v>
      </c>
      <c r="E169" s="150">
        <f>IFERROR(VLOOKUP(E$4,'Critical care'!$DD$5:$DL$18,8,FALSE),"")</f>
        <v>298.28571428571428</v>
      </c>
      <c r="F169" s="150">
        <f>IFERROR(VLOOKUP(F$4,'Critical care'!$DD$5:$DL$18,8,FALSE),"")</f>
        <v>300.14285714285717</v>
      </c>
      <c r="G169" s="150">
        <f>IFERROR(VLOOKUP(G$4,'Critical care'!$DD$5:$DL$18,8,FALSE),"")</f>
        <v>332.28571428571428</v>
      </c>
      <c r="H169" s="150">
        <f>IFERROR(VLOOKUP(H$4,'Critical care'!$DD$5:$DL$18,8,FALSE),"")</f>
        <v>417</v>
      </c>
      <c r="I169" s="150">
        <f>IFERROR(VLOOKUP(I$4,'Critical care'!$DD$5:$DL$18,8,FALSE),"")</f>
        <v>502</v>
      </c>
      <c r="J169" s="150">
        <f>IFERROR(VLOOKUP(J$4,'Critical care'!$DD$5:$DL$18,8,FALSE),"")</f>
        <v>534.85714285714289</v>
      </c>
      <c r="K169" s="150">
        <f>IFERROR(VLOOKUP(K$4,'Critical care'!$DD$5:$DL$18,8,FALSE),"")</f>
        <v>558</v>
      </c>
      <c r="L169" s="150">
        <f>IFERROR(VLOOKUP(L$4,'Critical care'!$DD$5:$DL$18,8,FALSE),"")</f>
        <v>553.28571428571433</v>
      </c>
      <c r="M169" s="150">
        <f>IFERROR(VLOOKUP(M$4,'Critical care'!$DD$5:$DL$18,8,FALSE),"")</f>
        <v>483.85714285714283</v>
      </c>
      <c r="N169" s="150">
        <f>IFERROR(VLOOKUP(N$4,'Critical care'!$DD$5:$DL$18,8,FALSE),"")</f>
        <v>409</v>
      </c>
      <c r="O169" s="150">
        <f>IFERROR(VLOOKUP(O$4,'Critical care'!$DD$5:$DL$18,8,FALSE),"")</f>
        <v>379.71428571428572</v>
      </c>
      <c r="P169" s="150">
        <f>IFERROR(VLOOKUP(P$4,'Critical care'!$DD$5:$DL$18,8,FALSE),"")</f>
        <v>350.85714285714283</v>
      </c>
      <c r="Q169" s="3"/>
      <c r="R169" s="3"/>
      <c r="Z169" s="160"/>
      <c r="AA169" s="160"/>
      <c r="AB169" s="160"/>
      <c r="AC169" s="160"/>
    </row>
    <row r="170" spans="2:29" ht="15" customHeight="1" x14ac:dyDescent="0.35">
      <c r="B170" s="162"/>
      <c r="C170" s="1" t="s">
        <v>254</v>
      </c>
      <c r="D170" s="150">
        <f>IFERROR(VLOOKUP(D$4,'Critical care'!$DD$5:$DL$18,5,FALSE),"")</f>
        <v>524</v>
      </c>
      <c r="E170" s="150">
        <f>IFERROR(VLOOKUP(E$4,'Critical care'!$DD$5:$DL$18,5,FALSE),"")</f>
        <v>512.85714285714289</v>
      </c>
      <c r="F170" s="150">
        <f>IFERROR(VLOOKUP(F$4,'Critical care'!$DD$5:$DL$18,5,FALSE),"")</f>
        <v>510.71428571428572</v>
      </c>
      <c r="G170" s="150">
        <f>IFERROR(VLOOKUP(G$4,'Critical care'!$DD$5:$DL$18,5,FALSE),"")</f>
        <v>491.71428571428572</v>
      </c>
      <c r="H170" s="150">
        <f>IFERROR(VLOOKUP(H$4,'Critical care'!$DD$5:$DL$18,5,FALSE),"")</f>
        <v>504.57142857142856</v>
      </c>
      <c r="I170" s="150">
        <f>IFERROR(VLOOKUP(I$4,'Critical care'!$DD$5:$DL$18,5,FALSE),"")</f>
        <v>550.14285714285711</v>
      </c>
      <c r="J170" s="150">
        <f>IFERROR(VLOOKUP(J$4,'Critical care'!$DD$5:$DL$18,5,FALSE),"")</f>
        <v>605</v>
      </c>
      <c r="K170" s="150">
        <f>IFERROR(VLOOKUP(K$4,'Critical care'!$DD$5:$DL$18,5,FALSE),"")</f>
        <v>638.57142857142856</v>
      </c>
      <c r="L170" s="150">
        <f>IFERROR(VLOOKUP(L$4,'Critical care'!$DD$5:$DL$18,5,FALSE),"")</f>
        <v>659.28571428571433</v>
      </c>
      <c r="M170" s="150">
        <f>IFERROR(VLOOKUP(M$4,'Critical care'!$DD$5:$DL$18,5,FALSE),"")</f>
        <v>651.14285714285711</v>
      </c>
      <c r="N170" s="150">
        <f>IFERROR(VLOOKUP(N$4,'Critical care'!$DD$5:$DL$18,5,FALSE),"")</f>
        <v>618.57142857142856</v>
      </c>
      <c r="O170" s="150">
        <f>IFERROR(VLOOKUP(O$4,'Critical care'!$DD$5:$DL$18,5,FALSE),"")</f>
        <v>623.14285714285711</v>
      </c>
      <c r="P170" s="150">
        <f>IFERROR(VLOOKUP(P$4,'Critical care'!$DD$5:$DL$18,5,FALSE),"")</f>
        <v>597.28571428571433</v>
      </c>
      <c r="Q170" s="3"/>
      <c r="R170" s="3"/>
      <c r="Z170" s="158"/>
      <c r="AA170" s="158"/>
      <c r="AB170" s="158"/>
      <c r="AC170" s="158"/>
    </row>
    <row r="171" spans="2:29" ht="15" customHeight="1" x14ac:dyDescent="0.35">
      <c r="B171" s="162"/>
      <c r="C171" s="1" t="s">
        <v>256</v>
      </c>
      <c r="D171" s="150">
        <f>IFERROR(VLOOKUP(D$4,'Critical care'!$CS$5:$DA$18,9,FALSE),"")</f>
        <v>613.28571428571433</v>
      </c>
      <c r="E171" s="150">
        <f>IFERROR(VLOOKUP(E$4,'Critical care'!$CS$5:$DA$18,9,FALSE),"")</f>
        <v>608.14285714285711</v>
      </c>
      <c r="F171" s="150">
        <f>IFERROR(VLOOKUP(F$4,'Critical care'!$CS$5:$DA$18,9,FALSE),"")</f>
        <v>588</v>
      </c>
      <c r="G171" s="150">
        <f>IFERROR(VLOOKUP(G$4,'Critical care'!$CS$5:$DA$18,9,FALSE),"")</f>
        <v>579.42857142857144</v>
      </c>
      <c r="H171" s="150">
        <f>IFERROR(VLOOKUP(H$4,'Critical care'!$CS$5:$DA$18,9,FALSE),"")</f>
        <v>580</v>
      </c>
      <c r="I171" s="150">
        <f>IFERROR(VLOOKUP(I$4,'Critical care'!$CS$5:$DA$18,9,FALSE),"")</f>
        <v>590.42857142857144</v>
      </c>
      <c r="J171" s="150">
        <f>IFERROR(VLOOKUP(J$4,'Critical care'!$CS$5:$DA$18,9,FALSE),"")</f>
        <v>628.85714285714289</v>
      </c>
      <c r="K171" s="150">
        <f>IFERROR(VLOOKUP(K$4,'Critical care'!$CS$5:$DA$18,9,FALSE),"")</f>
        <v>684.14285714285711</v>
      </c>
      <c r="L171" s="150">
        <f>IFERROR(VLOOKUP(L$4,'Critical care'!$CS$5:$DA$18,9,FALSE),"")</f>
        <v>720.57142857142856</v>
      </c>
      <c r="M171" s="150">
        <f>IFERROR(VLOOKUP(M$4,'Critical care'!$CS$5:$DA$18,9,FALSE),"")</f>
        <v>717.14285714285711</v>
      </c>
      <c r="N171" s="150">
        <f>IFERROR(VLOOKUP(N$4,'Critical care'!$CS$5:$DA$18,9,FALSE),"")</f>
        <v>706.14285714285711</v>
      </c>
      <c r="O171" s="150">
        <f>IFERROR(VLOOKUP(O$4,'Critical care'!$CS$5:$DA$18,9,FALSE),"")</f>
        <v>704</v>
      </c>
      <c r="P171" s="150">
        <f>IFERROR(VLOOKUP(P$4,'Critical care'!$CS$5:$DA$18,9,FALSE),"")</f>
        <v>672.42857142857144</v>
      </c>
      <c r="Q171" s="3"/>
      <c r="R171" s="3"/>
      <c r="Z171" s="158"/>
      <c r="AA171" s="158"/>
      <c r="AB171" s="158"/>
      <c r="AC171" s="158"/>
    </row>
    <row r="172" spans="2:29" ht="15" customHeight="1" x14ac:dyDescent="0.35">
      <c r="B172" s="162"/>
      <c r="C172" s="1" t="s">
        <v>223</v>
      </c>
      <c r="D172" s="150">
        <f>IFERROR(VLOOKUP(D$4,'Critical care'!$DD$5:$DL$18,6,FALSE),"")</f>
        <v>425.85714285714283</v>
      </c>
      <c r="E172" s="150">
        <f>IFERROR(VLOOKUP(E$4,'Critical care'!$DD$5:$DL$18,6,FALSE),"")</f>
        <v>429.28571428571428</v>
      </c>
      <c r="F172" s="150">
        <f>IFERROR(VLOOKUP(F$4,'Critical care'!$DD$5:$DL$18,6,FALSE),"")</f>
        <v>450.57142857142856</v>
      </c>
      <c r="G172" s="150">
        <f>IFERROR(VLOOKUP(G$4,'Critical care'!$DD$5:$DL$18,6,FALSE),"")</f>
        <v>457</v>
      </c>
      <c r="H172" s="150">
        <f>IFERROR(VLOOKUP(H$4,'Critical care'!$DD$5:$DL$18,6,FALSE),"")</f>
        <v>547.14285714285711</v>
      </c>
      <c r="I172" s="150">
        <f>IFERROR(VLOOKUP(I$4,'Critical care'!$DD$5:$DL$18,6,FALSE),"")</f>
        <v>636.14285714285711</v>
      </c>
      <c r="J172" s="150">
        <f>IFERROR(VLOOKUP(J$4,'Critical care'!$DD$5:$DL$18,6,FALSE),"")</f>
        <v>734.42857142857144</v>
      </c>
      <c r="K172" s="150">
        <f>IFERROR(VLOOKUP(K$4,'Critical care'!$DD$5:$DL$18,6,FALSE),"")</f>
        <v>802.57142857142856</v>
      </c>
      <c r="L172" s="150">
        <f>IFERROR(VLOOKUP(L$4,'Critical care'!$DD$5:$DL$18,6,FALSE),"")</f>
        <v>783.14285714285711</v>
      </c>
      <c r="M172" s="150">
        <f>IFERROR(VLOOKUP(M$4,'Critical care'!$DD$5:$DL$18,6,FALSE),"")</f>
        <v>715.14285714285711</v>
      </c>
      <c r="N172" s="150">
        <f>IFERROR(VLOOKUP(N$4,'Critical care'!$DD$5:$DL$18,6,FALSE),"")</f>
        <v>662.14285714285711</v>
      </c>
      <c r="O172" s="150">
        <f>IFERROR(VLOOKUP(O$4,'Critical care'!$DD$5:$DL$18,6,FALSE),"")</f>
        <v>596.28571428571433</v>
      </c>
      <c r="P172" s="150">
        <f>IFERROR(VLOOKUP(P$4,'Critical care'!$DD$5:$DL$18,6,FALSE),"")</f>
        <v>541</v>
      </c>
      <c r="Q172" s="3"/>
      <c r="R172" s="3"/>
      <c r="Z172" s="158"/>
      <c r="AA172" s="158"/>
      <c r="AB172" s="158"/>
      <c r="AC172" s="158"/>
    </row>
    <row r="173" spans="2:29" ht="15" customHeight="1" x14ac:dyDescent="0.35">
      <c r="B173" s="162"/>
      <c r="C173" s="11" t="s">
        <v>224</v>
      </c>
      <c r="D173" s="150">
        <f>IFERROR(VLOOKUP(D$4,'Critical care'!$DD$6:$DL$18,7,FALSE),"")</f>
        <v>236.57142857142858</v>
      </c>
      <c r="E173" s="150">
        <f>IFERROR(VLOOKUP(E$4,'Critical care'!$DD$6:$DL$18,7,FALSE),"")</f>
        <v>241</v>
      </c>
      <c r="F173" s="150">
        <f>IFERROR(VLOOKUP(F$4,'Critical care'!$DD$6:$DL$18,7,FALSE),"")</f>
        <v>244.42857142857142</v>
      </c>
      <c r="G173" s="150">
        <f>IFERROR(VLOOKUP(G$4,'Critical care'!$DD$6:$DL$18,7,FALSE),"")</f>
        <v>218.42857142857142</v>
      </c>
      <c r="H173" s="150">
        <f>IFERROR(VLOOKUP(H$4,'Critical care'!$DD$6:$DL$18,7,FALSE),"")</f>
        <v>228.57142857142858</v>
      </c>
      <c r="I173" s="150">
        <f>IFERROR(VLOOKUP(I$4,'Critical care'!$DD$6:$DL$18,7,FALSE),"")</f>
        <v>267</v>
      </c>
      <c r="J173" s="150">
        <f>IFERROR(VLOOKUP(J$4,'Critical care'!$DD$6:$DL$18,7,FALSE),"")</f>
        <v>320.14285714285717</v>
      </c>
      <c r="K173" s="150">
        <f>IFERROR(VLOOKUP(K$4,'Critical care'!$DD$6:$DL$18,7,FALSE),"")</f>
        <v>341.14285714285717</v>
      </c>
      <c r="L173" s="150">
        <f>IFERROR(VLOOKUP(L$4,'Critical care'!$DD$6:$DL$18,7,FALSE),"")</f>
        <v>340</v>
      </c>
      <c r="M173" s="150">
        <f>IFERROR(VLOOKUP(M$4,'Critical care'!$DD$6:$DL$18,7,FALSE),"")</f>
        <v>334.42857142857144</v>
      </c>
      <c r="N173" s="150">
        <f>IFERROR(VLOOKUP(N$4,'Critical care'!$DD$6:$DL$18,7,FALSE),"")</f>
        <v>295</v>
      </c>
      <c r="O173" s="150">
        <f>IFERROR(VLOOKUP(O$4,'Critical care'!$DD$6:$DL$18,7,FALSE),"")</f>
        <v>267.42857142857144</v>
      </c>
      <c r="P173" s="150">
        <f>IFERROR(VLOOKUP(P$4,'Critical care'!$DD$6:$DL$18,7,FALSE),"")</f>
        <v>244.57142857142858</v>
      </c>
      <c r="Q173" s="3"/>
      <c r="R173" s="3"/>
      <c r="Z173" s="158"/>
      <c r="AA173" s="158"/>
      <c r="AB173" s="158"/>
      <c r="AC173" s="158"/>
    </row>
    <row r="174" spans="2:29" ht="9" customHeight="1" x14ac:dyDescent="0.35">
      <c r="B174" s="162"/>
      <c r="C174" s="11"/>
      <c r="D174" s="154"/>
      <c r="E174" s="154"/>
      <c r="F174" s="154"/>
      <c r="G174" s="154"/>
      <c r="H174" s="154"/>
      <c r="I174" s="154"/>
      <c r="J174" s="154"/>
      <c r="K174" s="154"/>
      <c r="L174" s="154"/>
      <c r="M174" s="154"/>
      <c r="N174" s="154"/>
      <c r="O174" s="154"/>
      <c r="P174" s="154"/>
      <c r="Q174" s="3"/>
      <c r="R174" s="3"/>
      <c r="Z174" s="158"/>
      <c r="AA174" s="158"/>
      <c r="AB174" s="158"/>
      <c r="AC174" s="158"/>
    </row>
    <row r="175" spans="2:29" ht="15" customHeight="1" x14ac:dyDescent="0.35">
      <c r="B175" s="162"/>
      <c r="C175" s="1" t="s">
        <v>216</v>
      </c>
      <c r="D175" s="169" t="s">
        <v>252</v>
      </c>
      <c r="E175" s="170"/>
      <c r="F175" s="171"/>
      <c r="G175" s="169" t="s">
        <v>623</v>
      </c>
      <c r="H175" s="170"/>
      <c r="I175" s="170"/>
      <c r="J175" s="170"/>
      <c r="K175" s="164" t="s">
        <v>294</v>
      </c>
      <c r="L175" s="165"/>
      <c r="M175" s="165"/>
      <c r="N175" s="166" t="str">
        <f>TEXT('Critical care'!DU6,"0,0")&amp;" ("&amp;TEXT('Critical care'!DW6,"d-mmm")&amp;")"</f>
        <v>5,370 (23-Jan)</v>
      </c>
      <c r="O175" s="166"/>
      <c r="P175" s="166"/>
      <c r="Q175" s="3"/>
      <c r="R175" s="3"/>
      <c r="Z175" s="158"/>
      <c r="AA175" s="158"/>
      <c r="AB175" s="158"/>
      <c r="AC175" s="158"/>
    </row>
    <row r="176" spans="2:29" ht="8" customHeight="1" x14ac:dyDescent="0.35">
      <c r="B176" s="162"/>
      <c r="D176" s="126"/>
      <c r="E176" s="126"/>
      <c r="F176" s="126"/>
      <c r="G176" s="126"/>
      <c r="H176" s="126"/>
      <c r="I176" s="126"/>
      <c r="J176" s="126"/>
      <c r="K176" s="126"/>
      <c r="L176" s="126"/>
      <c r="M176" s="126"/>
      <c r="N176" s="126"/>
      <c r="O176" s="126"/>
      <c r="P176" s="126"/>
      <c r="Q176" s="3"/>
      <c r="R176" s="3"/>
      <c r="Z176" s="158"/>
      <c r="AA176" s="158"/>
      <c r="AB176" s="158"/>
      <c r="AC176" s="158"/>
    </row>
    <row r="177" spans="2:29" ht="15" customHeight="1" x14ac:dyDescent="0.35">
      <c r="B177" s="162"/>
      <c r="C177" s="12" t="s">
        <v>17</v>
      </c>
      <c r="D177" s="126">
        <v>0.8214008988067566</v>
      </c>
      <c r="E177" s="126">
        <v>0.81303841676367872</v>
      </c>
      <c r="F177" s="126">
        <v>0.80945519685346001</v>
      </c>
      <c r="G177" s="126">
        <v>0.76777882205513781</v>
      </c>
      <c r="H177" s="126">
        <v>0.832857422256992</v>
      </c>
      <c r="I177" s="126">
        <v>0.8522935422268989</v>
      </c>
      <c r="J177" s="126">
        <v>0.85241907413853113</v>
      </c>
      <c r="K177" s="126">
        <v>0.85280763708331719</v>
      </c>
      <c r="L177" s="126">
        <v>0.85627029534560073</v>
      </c>
      <c r="M177" s="126">
        <v>0.85657153950689191</v>
      </c>
      <c r="N177" s="126">
        <v>0.85114622057001244</v>
      </c>
      <c r="O177" s="126">
        <v>0.833916355721393</v>
      </c>
      <c r="P177" s="126">
        <v>0.82496897300651562</v>
      </c>
      <c r="Q177" s="3"/>
      <c r="R177" s="3"/>
      <c r="Z177" s="158"/>
      <c r="AA177" s="158"/>
      <c r="AB177" s="158"/>
      <c r="AC177" s="158"/>
    </row>
    <row r="178" spans="2:29" x14ac:dyDescent="0.35">
      <c r="B178" s="162"/>
      <c r="C178" s="1" t="s">
        <v>252</v>
      </c>
      <c r="D178" s="127">
        <v>0.83083453405506447</v>
      </c>
      <c r="E178" s="127">
        <v>0.83786411542799366</v>
      </c>
      <c r="F178" s="127">
        <v>0.8412383177570093</v>
      </c>
      <c r="G178" s="127">
        <v>0.78613350027388684</v>
      </c>
      <c r="H178" s="127">
        <v>0.82354774613316706</v>
      </c>
      <c r="I178" s="127">
        <v>0.84481688392302923</v>
      </c>
      <c r="J178" s="127">
        <v>0.83203883495145636</v>
      </c>
      <c r="K178" s="127">
        <v>0.81908099688473524</v>
      </c>
      <c r="L178" s="127">
        <v>0.82227857978930941</v>
      </c>
      <c r="M178" s="127">
        <v>0.81373885275906388</v>
      </c>
      <c r="N178" s="127">
        <v>0.81617332451670621</v>
      </c>
      <c r="O178" s="127">
        <v>0.81046031622400494</v>
      </c>
      <c r="P178" s="127">
        <v>0.81750175329229335</v>
      </c>
      <c r="Z178" s="158"/>
      <c r="AA178" s="158"/>
      <c r="AB178" s="158"/>
      <c r="AC178" s="158"/>
    </row>
    <row r="179" spans="2:29" ht="7.5" customHeight="1" x14ac:dyDescent="0.35">
      <c r="B179" s="162"/>
      <c r="C179" s="1"/>
      <c r="D179" s="30">
        <v>0.85</v>
      </c>
      <c r="E179" s="30">
        <v>0.85</v>
      </c>
      <c r="F179" s="30">
        <v>0.85</v>
      </c>
      <c r="G179" s="30">
        <v>0.85</v>
      </c>
      <c r="H179" s="30">
        <v>0.85</v>
      </c>
      <c r="I179" s="30">
        <v>0.85</v>
      </c>
      <c r="J179" s="30">
        <v>0.85</v>
      </c>
      <c r="K179" s="30">
        <v>0.85</v>
      </c>
      <c r="L179" s="30">
        <v>0.85</v>
      </c>
      <c r="M179" s="30">
        <v>0.85</v>
      </c>
      <c r="N179" s="30">
        <v>0.85</v>
      </c>
      <c r="O179" s="30">
        <v>0.85</v>
      </c>
      <c r="P179" s="30">
        <v>0.85</v>
      </c>
      <c r="Q179" s="30">
        <v>0.85</v>
      </c>
      <c r="Z179" s="158"/>
      <c r="AA179" s="158"/>
      <c r="AB179" s="158"/>
      <c r="AC179" s="158"/>
    </row>
    <row r="180" spans="2:29" x14ac:dyDescent="0.35">
      <c r="B180" s="162"/>
      <c r="C180" s="16" t="s">
        <v>294</v>
      </c>
      <c r="D180" s="63">
        <f>IFERROR(VLOOKUP(D$4,'Critical care'!$AB$3:$AJ$16,2,FALSE),"")</f>
        <v>0.73717077590111957</v>
      </c>
      <c r="E180" s="63">
        <f>IFERROR(VLOOKUP(E$4,'Critical care'!$AB$3:$AJ$16,2,FALSE),"")</f>
        <v>0.75170078994035139</v>
      </c>
      <c r="F180" s="63">
        <f>IFERROR(VLOOKUP(F$4,'Critical care'!$AB$3:$AJ$16,2,FALSE),"")</f>
        <v>0.77040799389171066</v>
      </c>
      <c r="G180" s="63">
        <f>IFERROR(VLOOKUP(G$4,'Critical care'!$AB$3:$AJ$16,2,FALSE),"")</f>
        <v>0.76018467340767959</v>
      </c>
      <c r="H180" s="63">
        <f>IFERROR(VLOOKUP(H$4,'Critical care'!$AB$3:$AJ$16,2,FALSE),"")</f>
        <v>0.79547469805840088</v>
      </c>
      <c r="I180" s="63">
        <f>IFERROR(VLOOKUP(I$4,'Critical care'!$AB$3:$AJ$16,2,FALSE),"")</f>
        <v>0.83428857603917428</v>
      </c>
      <c r="J180" s="63">
        <f>IFERROR(VLOOKUP(J$4,'Critical care'!$AB$3:$AJ$16,2,FALSE),"")</f>
        <v>0.86481113320079528</v>
      </c>
      <c r="K180" s="63">
        <f>IFERROR(VLOOKUP(K$4,'Critical care'!$AB$3:$AJ$16,2,FALSE),"")</f>
        <v>0.87135040799962271</v>
      </c>
      <c r="L180" s="63">
        <f>IFERROR(VLOOKUP(L$4,'Critical care'!$AB$3:$AJ$16,2,FALSE),"")</f>
        <v>0.8617799345236713</v>
      </c>
      <c r="M180" s="63">
        <f>IFERROR(VLOOKUP(M$4,'Critical care'!$AB$3:$AJ$16,2,FALSE),"")</f>
        <v>0.83258975993201612</v>
      </c>
      <c r="N180" s="63">
        <f>IFERROR(VLOOKUP(N$4,'Critical care'!$AB$3:$AJ$16,2,FALSE),"")</f>
        <v>0.79740577581987271</v>
      </c>
      <c r="O180" s="63">
        <f>IFERROR(VLOOKUP(O$4,'Critical care'!$AB$3:$AJ$16,2,FALSE),"")</f>
        <v>0.77386114370249448</v>
      </c>
      <c r="P180" s="63">
        <f>IFERROR(VLOOKUP(P$4,'Critical care'!$AB$3:$AJ$16,2,FALSE),"")</f>
        <v>0.75271739130434778</v>
      </c>
      <c r="Q180" s="90" t="str">
        <f>IFERROR(VLOOKUP(Q$4,'Critical care'!$AB$3:$AI$17,2,FALSE),"")</f>
        <v/>
      </c>
      <c r="Z180" s="158"/>
      <c r="AA180" s="158"/>
      <c r="AB180" s="158"/>
      <c r="AC180" s="158"/>
    </row>
    <row r="181" spans="2:29" ht="15" customHeight="1" x14ac:dyDescent="0.35">
      <c r="B181" s="162"/>
      <c r="C181" s="1" t="s">
        <v>1</v>
      </c>
      <c r="D181" s="137">
        <f>IFERROR(VLOOKUP(D$4,'Critical care'!$AB$3:$AJ$16,3,FALSE),"")</f>
        <v>0.81789321789321789</v>
      </c>
      <c r="E181" s="137">
        <f>IFERROR(VLOOKUP(E$4,'Critical care'!$AB$3:$AJ$16,3,FALSE),"")</f>
        <v>0.8326478513686002</v>
      </c>
      <c r="F181" s="137">
        <f>IFERROR(VLOOKUP(F$4,'Critical care'!$AB$3:$AJ$16,3,FALSE),"")</f>
        <v>0.86089466089466093</v>
      </c>
      <c r="G181" s="137">
        <f>IFERROR(VLOOKUP(G$4,'Critical care'!$AB$3:$AJ$16,3,FALSE),"")</f>
        <v>0.88732590529247912</v>
      </c>
      <c r="H181" s="137">
        <f>IFERROR(VLOOKUP(H$4,'Critical care'!$AB$3:$AJ$16,3,FALSE),"")</f>
        <v>0.87735965453423814</v>
      </c>
      <c r="I181" s="137">
        <f>IFERROR(VLOOKUP(I$4,'Critical care'!$AB$3:$AJ$16,3,FALSE),"")</f>
        <v>0.87875312760633861</v>
      </c>
      <c r="J181" s="137">
        <f>IFERROR(VLOOKUP(J$4,'Critical care'!$AB$3:$AJ$16,3,FALSE),"")</f>
        <v>0.92715231788079466</v>
      </c>
      <c r="K181" s="137">
        <f>IFERROR(VLOOKUP(K$4,'Critical care'!$AB$3:$AJ$16,3,FALSE),"")</f>
        <v>0.93191865605658708</v>
      </c>
      <c r="L181" s="137">
        <f>IFERROR(VLOOKUP(L$4,'Critical care'!$AB$3:$AJ$16,3,FALSE),"")</f>
        <v>0.92398277528781092</v>
      </c>
      <c r="M181" s="137">
        <f>IFERROR(VLOOKUP(M$4,'Critical care'!$AB$3:$AJ$16,3,FALSE),"")</f>
        <v>0.89847806624888094</v>
      </c>
      <c r="N181" s="137">
        <f>IFERROR(VLOOKUP(N$4,'Critical care'!$AB$3:$AJ$16,3,FALSE),"")</f>
        <v>0.86941484389605539</v>
      </c>
      <c r="O181" s="137">
        <f>IFERROR(VLOOKUP(O$4,'Critical care'!$AB$3:$AJ$16,3,FALSE),"")</f>
        <v>0.84851226377161237</v>
      </c>
      <c r="P181" s="137">
        <f>IFERROR(VLOOKUP(P$4,'Critical care'!$AB$3:$AJ$16,3,FALSE),"")</f>
        <v>0.83496642078608385</v>
      </c>
      <c r="Q181" s="91" t="str">
        <f>IFERROR(VLOOKUP(Q$4,'Critical care'!$AB$3:$AI$17,3,FALSE),"")</f>
        <v/>
      </c>
    </row>
    <row r="182" spans="2:29" x14ac:dyDescent="0.35">
      <c r="B182" s="162"/>
      <c r="C182" s="1" t="s">
        <v>226</v>
      </c>
      <c r="D182" s="137">
        <f>IFERROR(VLOOKUP(D$4,'Critical care'!$AB$3:$AJ$16,4,FALSE),"")</f>
        <v>0.76257148491421811</v>
      </c>
      <c r="E182" s="137">
        <f>IFERROR(VLOOKUP(E$4,'Critical care'!$AB$3:$AJ$16,4,FALSE),"")</f>
        <v>0.73643410852713176</v>
      </c>
      <c r="F182" s="137">
        <f>IFERROR(VLOOKUP(F$4,'Critical care'!$AB$3:$AJ$16,4,FALSE),"")</f>
        <v>0.7131225146752509</v>
      </c>
      <c r="G182" s="137">
        <f>IFERROR(VLOOKUP(G$4,'Critical care'!$AB$3:$AJ$16,4,FALSE),"")</f>
        <v>0.70084507042253519</v>
      </c>
      <c r="H182" s="137">
        <f>IFERROR(VLOOKUP(H$4,'Critical care'!$AB$3:$AJ$16,4,FALSE),"")</f>
        <v>0.74912118408880668</v>
      </c>
      <c r="I182" s="137">
        <f>IFERROR(VLOOKUP(I$4,'Critical care'!$AB$3:$AJ$16,4,FALSE),"")</f>
        <v>0.80090972708187547</v>
      </c>
      <c r="J182" s="137">
        <f>IFERROR(VLOOKUP(J$4,'Critical care'!$AB$3:$AJ$16,4,FALSE),"")</f>
        <v>0.84594508301404858</v>
      </c>
      <c r="K182" s="137">
        <f>IFERROR(VLOOKUP(K$4,'Critical care'!$AB$3:$AJ$16,4,FALSE),"")</f>
        <v>0.86080273270708796</v>
      </c>
      <c r="L182" s="137">
        <f>IFERROR(VLOOKUP(L$4,'Critical care'!$AB$3:$AJ$16,4,FALSE),"")</f>
        <v>0.86628793127338233</v>
      </c>
      <c r="M182" s="137">
        <f>IFERROR(VLOOKUP(M$4,'Critical care'!$AB$3:$AJ$16,4,FALSE),"")</f>
        <v>0.83798492883058884</v>
      </c>
      <c r="N182" s="137">
        <f>IFERROR(VLOOKUP(N$4,'Critical care'!$AB$3:$AJ$16,4,FALSE),"")</f>
        <v>0.81340131099781499</v>
      </c>
      <c r="O182" s="137">
        <f>IFERROR(VLOOKUP(O$4,'Critical care'!$AB$3:$AJ$16,4,FALSE),"")</f>
        <v>0.78721432983323036</v>
      </c>
      <c r="P182" s="137">
        <f>IFERROR(VLOOKUP(P$4,'Critical care'!$AB$3:$AJ$16,4,FALSE),"")</f>
        <v>0.76734825309933985</v>
      </c>
      <c r="Q182" s="91" t="str">
        <f>IFERROR(VLOOKUP(Q$4,'Critical care'!$AB$3:$AI$17,4,FALSE),"")</f>
        <v/>
      </c>
    </row>
    <row r="183" spans="2:29" x14ac:dyDescent="0.35">
      <c r="B183" s="162"/>
      <c r="C183" s="1" t="s">
        <v>253</v>
      </c>
      <c r="D183" s="137">
        <f>IFERROR(VLOOKUP(D$4,'Critical care'!$AB$3:$AJ$16,8,FALSE),"")</f>
        <v>0.70505415162454876</v>
      </c>
      <c r="E183" s="137">
        <f>IFERROR(VLOOKUP(E$4,'Critical care'!$AB$3:$AJ$16,8,FALSE),"")</f>
        <v>0.77823332090942976</v>
      </c>
      <c r="F183" s="137">
        <f>IFERROR(VLOOKUP(F$4,'Critical care'!$AB$3:$AJ$16,8,FALSE),"")</f>
        <v>0.78075065031586766</v>
      </c>
      <c r="G183" s="137">
        <f>IFERROR(VLOOKUP(G$4,'Critical care'!$AB$3:$AJ$16,8,FALSE),"")</f>
        <v>0.76212319790301442</v>
      </c>
      <c r="H183" s="137">
        <f>IFERROR(VLOOKUP(H$4,'Critical care'!$AB$3:$AJ$16,8,FALSE),"")</f>
        <v>0.83209806157354615</v>
      </c>
      <c r="I183" s="137">
        <f>IFERROR(VLOOKUP(I$4,'Critical care'!$AB$3:$AJ$16,8,FALSE),"")</f>
        <v>0.87044835273718113</v>
      </c>
      <c r="J183" s="137">
        <f>IFERROR(VLOOKUP(J$4,'Critical care'!$AB$3:$AJ$16,8,FALSE),"")</f>
        <v>0.853236098450319</v>
      </c>
      <c r="K183" s="137">
        <f>IFERROR(VLOOKUP(K$4,'Critical care'!$AB$3:$AJ$16,8,FALSE),"")</f>
        <v>0.86111111111111116</v>
      </c>
      <c r="L183" s="137">
        <f>IFERROR(VLOOKUP(L$4,'Critical care'!$AB$3:$AJ$16,8,FALSE),"")</f>
        <v>0.8597114317425083</v>
      </c>
      <c r="M183" s="137">
        <f>IFERROR(VLOOKUP(M$4,'Critical care'!$AB$3:$AJ$16,8,FALSE),"")</f>
        <v>0.7871252614455031</v>
      </c>
      <c r="N183" s="137">
        <f>IFERROR(VLOOKUP(N$4,'Critical care'!$AB$3:$AJ$16,8,FALSE),"")</f>
        <v>0.71077457795431975</v>
      </c>
      <c r="O183" s="137">
        <f>IFERROR(VLOOKUP(O$4,'Critical care'!$AB$3:$AJ$16,8,FALSE),"")</f>
        <v>0.70898906375033344</v>
      </c>
      <c r="P183" s="137">
        <f>IFERROR(VLOOKUP(P$4,'Critical care'!$AB$3:$AJ$16,8,FALSE),"")</f>
        <v>0.70798501008936288</v>
      </c>
      <c r="Q183" s="91"/>
    </row>
    <row r="184" spans="2:29" x14ac:dyDescent="0.35">
      <c r="B184" s="162"/>
      <c r="C184" s="1" t="s">
        <v>254</v>
      </c>
      <c r="D184" s="137">
        <f>IFERROR(VLOOKUP(D$4,'Critical care'!$AB$3:$AJ$16,5,FALSE),"")</f>
        <v>0.71250971250971251</v>
      </c>
      <c r="E184" s="137">
        <f>IFERROR(VLOOKUP(E$4,'Critical care'!$AB$3:$AJ$16,5,FALSE),"")</f>
        <v>0.70934597905552266</v>
      </c>
      <c r="F184" s="137">
        <f>IFERROR(VLOOKUP(F$4,'Critical care'!$AB$3:$AJ$16,5,FALSE),"")</f>
        <v>0.72236815518286523</v>
      </c>
      <c r="G184" s="137">
        <f>IFERROR(VLOOKUP(G$4,'Critical care'!$AB$3:$AJ$16,5,FALSE),"")</f>
        <v>0.7110101218756455</v>
      </c>
      <c r="H184" s="137">
        <f>IFERROR(VLOOKUP(H$4,'Critical care'!$AB$3:$AJ$16,5,FALSE),"")</f>
        <v>0.73323645422462114</v>
      </c>
      <c r="I184" s="137">
        <f>IFERROR(VLOOKUP(I$4,'Critical care'!$AB$3:$AJ$16,5,FALSE),"")</f>
        <v>0.7559874361994503</v>
      </c>
      <c r="J184" s="137">
        <f>IFERROR(VLOOKUP(J$4,'Critical care'!$AB$3:$AJ$16,5,FALSE),"")</f>
        <v>0.7757831104597912</v>
      </c>
      <c r="K184" s="137">
        <f>IFERROR(VLOOKUP(K$4,'Critical care'!$AB$3:$AJ$16,5,FALSE),"")</f>
        <v>0.78780401832922098</v>
      </c>
      <c r="L184" s="137">
        <f>IFERROR(VLOOKUP(L$4,'Critical care'!$AB$3:$AJ$16,5,FALSE),"")</f>
        <v>0.78861927546138078</v>
      </c>
      <c r="M184" s="137">
        <f>IFERROR(VLOOKUP(M$4,'Critical care'!$AB$3:$AJ$16,5,FALSE),"")</f>
        <v>0.76863406408094437</v>
      </c>
      <c r="N184" s="137">
        <f>IFERROR(VLOOKUP(N$4,'Critical care'!$AB$3:$AJ$16,5,FALSE),"")</f>
        <v>0.74680924456709208</v>
      </c>
      <c r="O184" s="137">
        <f>IFERROR(VLOOKUP(O$4,'Critical care'!$AB$3:$AJ$16,5,FALSE),"")</f>
        <v>0.74234172906739282</v>
      </c>
      <c r="P184" s="137">
        <f>IFERROR(VLOOKUP(P$4,'Critical care'!$AB$3:$AJ$16,5,FALSE),"")</f>
        <v>0.72011712022046159</v>
      </c>
      <c r="Q184" s="91"/>
    </row>
    <row r="185" spans="2:29" x14ac:dyDescent="0.35">
      <c r="B185" s="162"/>
      <c r="C185" s="1" t="s">
        <v>256</v>
      </c>
      <c r="D185" s="137">
        <f>IFERROR(VLOOKUP(D$4,'Critical care'!$AB$3:$AJ$16,9,FALSE),"")</f>
        <v>0.69648264616818079</v>
      </c>
      <c r="E185" s="137">
        <f>IFERROR(VLOOKUP(E$4,'Critical care'!$AB$3:$AJ$16,9,FALSE),"")</f>
        <v>0.70190274841437628</v>
      </c>
      <c r="F185" s="137">
        <f>IFERROR(VLOOKUP(F$4,'Critical care'!$AB$3:$AJ$16,9,FALSE),"")</f>
        <v>0.71282798833819239</v>
      </c>
      <c r="G185" s="137">
        <f>IFERROR(VLOOKUP(G$4,'Critical care'!$AB$3:$AJ$16,9,FALSE),"")</f>
        <v>0.6858974358974359</v>
      </c>
      <c r="H185" s="137">
        <f>IFERROR(VLOOKUP(H$4,'Critical care'!$AB$3:$AJ$16,9,FALSE),"")</f>
        <v>0.73275862068965514</v>
      </c>
      <c r="I185" s="137">
        <f>IFERROR(VLOOKUP(I$4,'Critical care'!$AB$3:$AJ$16,9,FALSE),"")</f>
        <v>0.79651584805226228</v>
      </c>
      <c r="J185" s="137">
        <f>IFERROR(VLOOKUP(J$4,'Critical care'!$AB$3:$AJ$16,9,FALSE),"")</f>
        <v>0.82348932303498412</v>
      </c>
      <c r="K185" s="137">
        <f>IFERROR(VLOOKUP(K$4,'Critical care'!$AB$3:$AJ$16,9,FALSE),"")</f>
        <v>0.83044476926289412</v>
      </c>
      <c r="L185" s="137">
        <f>IFERROR(VLOOKUP(L$4,'Critical care'!$AB$3:$AJ$16,9,FALSE),"")</f>
        <v>0.79302141157811257</v>
      </c>
      <c r="M185" s="137">
        <f>IFERROR(VLOOKUP(M$4,'Critical care'!$AB$3:$AJ$16,9,FALSE),"")</f>
        <v>0.78446215139442232</v>
      </c>
      <c r="N185" s="137">
        <f>IFERROR(VLOOKUP(N$4,'Critical care'!$AB$3:$AJ$16,9,FALSE),"")</f>
        <v>0.76957313372445879</v>
      </c>
      <c r="O185" s="137">
        <f>IFERROR(VLOOKUP(O$4,'Critical care'!$AB$3:$AJ$16,9,FALSE),"")</f>
        <v>0.75791396103896103</v>
      </c>
      <c r="P185" s="137">
        <f>IFERROR(VLOOKUP(P$4,'Critical care'!$AB$3:$AJ$16,9,FALSE),"")</f>
        <v>0.74166135542808587</v>
      </c>
      <c r="Q185" s="91" t="str">
        <f>IFERROR(VLOOKUP(Q$4,'Critical care'!$AB$3:$AI$17,5,FALSE),"")</f>
        <v/>
      </c>
    </row>
    <row r="186" spans="2:29" x14ac:dyDescent="0.35">
      <c r="B186" s="162"/>
      <c r="C186" s="1" t="s">
        <v>223</v>
      </c>
      <c r="D186" s="137">
        <f>IFERROR(VLOOKUP(D$4,'Critical care'!$AB$3:$AJ$16,6,FALSE),"")</f>
        <v>0.74767995986957614</v>
      </c>
      <c r="E186" s="137">
        <f>IFERROR(VLOOKUP(E$4,'Critical care'!$AB$3:$AJ$16,6,FALSE),"")</f>
        <v>0.75578470824949695</v>
      </c>
      <c r="F186" s="137">
        <f>IFERROR(VLOOKUP(F$4,'Critical care'!$AB$3:$AJ$16,6,FALSE),"")</f>
        <v>0.79787503162155327</v>
      </c>
      <c r="G186" s="137">
        <f>IFERROR(VLOOKUP(G$4,'Critical care'!$AB$3:$AJ$16,6,FALSE),"")</f>
        <v>0.78349253000244923</v>
      </c>
      <c r="H186" s="137">
        <f>IFERROR(VLOOKUP(H$4,'Critical care'!$AB$3:$AJ$16,6,FALSE),"")</f>
        <v>0.84828349944629011</v>
      </c>
      <c r="I186" s="137">
        <f>IFERROR(VLOOKUP(I$4,'Critical care'!$AB$3:$AJ$16,6,FALSE),"")</f>
        <v>0.89435629644506931</v>
      </c>
      <c r="J186" s="137">
        <f>IFERROR(VLOOKUP(J$4,'Critical care'!$AB$3:$AJ$16,6,FALSE),"")</f>
        <v>0.91104022682970054</v>
      </c>
      <c r="K186" s="137">
        <f>IFERROR(VLOOKUP(K$4,'Critical care'!$AB$3:$AJ$16,6,FALSE),"")</f>
        <v>0.91097778498459547</v>
      </c>
      <c r="L186" s="137">
        <f>IFERROR(VLOOKUP(L$4,'Critical care'!$AB$3:$AJ$16,6,FALSE),"")</f>
        <v>0.90268401119710195</v>
      </c>
      <c r="M186" s="137">
        <f>IFERROR(VLOOKUP(M$4,'Critical care'!$AB$3:$AJ$16,6,FALSE),"")</f>
        <v>0.85969431564485665</v>
      </c>
      <c r="N186" s="137">
        <f>IFERROR(VLOOKUP(N$4,'Critical care'!$AB$3:$AJ$16,6,FALSE),"")</f>
        <v>0.81760451578761684</v>
      </c>
      <c r="O186" s="137">
        <f>IFERROR(VLOOKUP(O$4,'Critical care'!$AB$3:$AJ$16,6,FALSE),"")</f>
        <v>0.76321082464801604</v>
      </c>
      <c r="P186" s="137">
        <f>IFERROR(VLOOKUP(P$4,'Critical care'!$AB$3:$AJ$16,6,FALSE),"")</f>
        <v>0.73023524874662549</v>
      </c>
      <c r="Q186" s="91" t="str">
        <f>IFERROR(VLOOKUP(Q$4,'Critical care'!$AB$3:$AI$17,6,FALSE),"")</f>
        <v/>
      </c>
    </row>
    <row r="187" spans="2:29" x14ac:dyDescent="0.35">
      <c r="B187" s="162"/>
      <c r="C187" s="11" t="s">
        <v>224</v>
      </c>
      <c r="D187" s="137">
        <f>IFERROR(VLOOKUP(D$4,'Critical care'!$AB$3:$AJ$16,7,FALSE),"")</f>
        <v>0.61174732175840418</v>
      </c>
      <c r="E187" s="137">
        <f>IFERROR(VLOOKUP(E$4,'Critical care'!$AB$3:$AJ$16,7,FALSE),"")</f>
        <v>0.69139344262295077</v>
      </c>
      <c r="F187" s="137">
        <f>IFERROR(VLOOKUP(F$4,'Critical care'!$AB$3:$AJ$16,7,FALSE),"")</f>
        <v>0.77666817975487967</v>
      </c>
      <c r="G187" s="137">
        <f>IFERROR(VLOOKUP(G$4,'Critical care'!$AB$3:$AJ$16,7,FALSE),"")</f>
        <v>0.6887387387387387</v>
      </c>
      <c r="H187" s="137">
        <f>IFERROR(VLOOKUP(H$4,'Critical care'!$AB$3:$AJ$16,7,FALSE),"")</f>
        <v>0.69716775599128544</v>
      </c>
      <c r="I187" s="137">
        <f>IFERROR(VLOOKUP(I$4,'Critical care'!$AB$3:$AJ$16,7,FALSE),"")</f>
        <v>0.78168130489335008</v>
      </c>
      <c r="J187" s="137">
        <f>IFERROR(VLOOKUP(J$4,'Critical care'!$AB$3:$AJ$16,7,FALSE),"")</f>
        <v>0.8272425249169435</v>
      </c>
      <c r="K187" s="137">
        <f>IFERROR(VLOOKUP(K$4,'Critical care'!$AB$3:$AJ$16,7,FALSE),"")</f>
        <v>0.82344827586206892</v>
      </c>
      <c r="L187" s="137">
        <f>IFERROR(VLOOKUP(L$4,'Critical care'!$AB$3:$AJ$16,7,FALSE),"")</f>
        <v>0.79359786595531845</v>
      </c>
      <c r="M187" s="137">
        <f>IFERROR(VLOOKUP(M$4,'Critical care'!$AB$3:$AJ$16,7,FALSE),"")</f>
        <v>0.79329041003049816</v>
      </c>
      <c r="N187" s="137">
        <f>IFERROR(VLOOKUP(N$4,'Critical care'!$AB$3:$AJ$16,7,FALSE),"")</f>
        <v>0.72228051766351875</v>
      </c>
      <c r="O187" s="137">
        <f>IFERROR(VLOOKUP(O$4,'Critical care'!$AB$3:$AJ$16,7,FALSE),"")</f>
        <v>0.67826086956521736</v>
      </c>
      <c r="P187" s="137">
        <f>IFERROR(VLOOKUP(P$4,'Critical care'!$AB$3:$AJ$16,7,FALSE),"")</f>
        <v>0.63266814486326683</v>
      </c>
      <c r="Q187" s="91" t="str">
        <f>IFERROR(VLOOKUP(Q$4,'Critical care'!$AB$3:$AI$17,7,FALSE),"")</f>
        <v/>
      </c>
    </row>
    <row r="188" spans="2:29" ht="7.5" customHeight="1" x14ac:dyDescent="0.35">
      <c r="B188" s="162"/>
    </row>
    <row r="189" spans="2:29" x14ac:dyDescent="0.35">
      <c r="B189" s="162"/>
      <c r="C189" s="12" t="s">
        <v>18</v>
      </c>
      <c r="D189" s="123">
        <v>658.57142857142856</v>
      </c>
      <c r="E189" s="123">
        <v>688.28571428571433</v>
      </c>
      <c r="F189" s="123">
        <v>699</v>
      </c>
      <c r="G189" s="123">
        <v>847.14285714285711</v>
      </c>
      <c r="H189" s="123">
        <v>610.42857142857144</v>
      </c>
      <c r="I189" s="123">
        <v>541.42857142857144</v>
      </c>
      <c r="J189" s="123">
        <v>545.14285714285711</v>
      </c>
      <c r="K189" s="123">
        <v>541.85714285714289</v>
      </c>
      <c r="L189" s="123">
        <v>531.14285714285711</v>
      </c>
      <c r="M189" s="123">
        <v>527.71428571428567</v>
      </c>
      <c r="N189" s="123">
        <v>549.14285714285711</v>
      </c>
      <c r="O189" s="123">
        <v>610.42857142857144</v>
      </c>
      <c r="P189" s="123">
        <v>644.71428571428567</v>
      </c>
    </row>
    <row r="190" spans="2:29" x14ac:dyDescent="0.35">
      <c r="B190" s="162"/>
      <c r="C190" s="1" t="s">
        <v>252</v>
      </c>
      <c r="D190" s="86">
        <v>620.57142857142856</v>
      </c>
      <c r="E190" s="86">
        <v>595.57142857142856</v>
      </c>
      <c r="F190" s="86">
        <v>582.42857142857144</v>
      </c>
      <c r="G190" s="86">
        <v>780.85714285714289</v>
      </c>
      <c r="H190" s="86">
        <v>647</v>
      </c>
      <c r="I190" s="86">
        <v>571.42857142857144</v>
      </c>
      <c r="J190" s="86">
        <v>617.85714285714289</v>
      </c>
      <c r="K190" s="86">
        <v>663.71428571428567</v>
      </c>
      <c r="L190" s="86">
        <v>650.71428571428567</v>
      </c>
      <c r="M190" s="86">
        <v>683.28571428571433</v>
      </c>
      <c r="N190" s="86">
        <v>675.14285714285711</v>
      </c>
      <c r="O190" s="86">
        <v>695.28571428571433</v>
      </c>
      <c r="P190" s="86">
        <v>669.14285714285711</v>
      </c>
    </row>
    <row r="191" spans="2:29" ht="7.5" customHeight="1" x14ac:dyDescent="0.35">
      <c r="B191" s="162"/>
      <c r="C191" s="1"/>
    </row>
    <row r="192" spans="2:29" x14ac:dyDescent="0.35">
      <c r="B192" s="162"/>
      <c r="C192" s="16" t="s">
        <v>294</v>
      </c>
      <c r="D192" s="159">
        <f>IFERROR(VLOOKUP(D$4,'Critical care'!$BM$5:$BU$18,2,FALSE),"")</f>
        <v>1160.4285714285713</v>
      </c>
      <c r="E192" s="159">
        <f>IFERROR(VLOOKUP(E$4,'Critical care'!$BM$5:$BU$18,2,FALSE),"")</f>
        <v>1100.1428571428571</v>
      </c>
      <c r="F192" s="93">
        <f>IFERROR(VLOOKUP(F$4,'Critical care'!$BM$5:$BU$18,2,FALSE),"")</f>
        <v>988</v>
      </c>
      <c r="G192" s="93">
        <f>IFERROR(VLOOKUP(G$4,'Critical care'!$BM$5:$BU$18,2,FALSE),"")</f>
        <v>1053.7142857142858</v>
      </c>
      <c r="H192" s="93">
        <f>IFERROR(VLOOKUP(H$4,'Critical care'!$BM$5:$BU$18,2,FALSE),"")</f>
        <v>955.57142857142856</v>
      </c>
      <c r="I192" s="93">
        <f>IFERROR(VLOOKUP(I$4,'Critical care'!$BM$5:$BU$18,2,FALSE),"")</f>
        <v>850.85714285714289</v>
      </c>
      <c r="J192" s="93">
        <f>IFERROR(VLOOKUP(J$4,'Critical care'!$BM$5:$BU$18,2,FALSE),"")</f>
        <v>767.42857142857144</v>
      </c>
      <c r="K192" s="93">
        <f>IFERROR(VLOOKUP(K$4,'Critical care'!$BM$5:$BU$18,2,FALSE),"")</f>
        <v>779.28571428571433</v>
      </c>
      <c r="L192" s="93">
        <f>IFERROR(VLOOKUP(L$4,'Critical care'!$BM$5:$BU$18,2,FALSE),"")</f>
        <v>850.42857142857144</v>
      </c>
      <c r="M192" s="159">
        <f>IFERROR(VLOOKUP(M$4,'Critical care'!$BM$5:$BU$18,2,FALSE),"")</f>
        <v>1013.1428571428571</v>
      </c>
      <c r="N192" s="159">
        <f>IFERROR(VLOOKUP(N$4,'Critical care'!$BM$5:$BU$18,2,FALSE),"")</f>
        <v>1182.5714285714287</v>
      </c>
      <c r="O192" s="93">
        <f>IFERROR(VLOOKUP(O$4,'Critical care'!$BM$5:$BU$18,2,FALSE),"")</f>
        <v>1266.5714285714287</v>
      </c>
      <c r="P192" s="93">
        <f>IFERROR(VLOOKUP(P$4,'Critical care'!$BM$5:$BU$18,2,FALSE),"")</f>
        <v>1313</v>
      </c>
      <c r="Q192" s="92" t="str">
        <f>IFERROR(VLOOKUP(Q$4,'Critical care'!$BM$5:$BT$19,2,FALSE),"")</f>
        <v/>
      </c>
    </row>
    <row r="193" spans="2:29" x14ac:dyDescent="0.35">
      <c r="B193" s="162"/>
      <c r="C193" s="1" t="s">
        <v>1</v>
      </c>
      <c r="D193" s="136">
        <f>IFERROR(VLOOKUP(D$4,'Critical care'!$BM$5:$BU$18,3,FALSE),"")</f>
        <v>180.28571428571428</v>
      </c>
      <c r="E193" s="136">
        <f>IFERROR(VLOOKUP(E$4,'Critical care'!$BM$5:$BU$18,3,FALSE),"")</f>
        <v>168.57142857142858</v>
      </c>
      <c r="F193" s="136">
        <f>IFERROR(VLOOKUP(F$4,'Critical care'!$BM$5:$BU$18,3,FALSE),"")</f>
        <v>137.71428571428572</v>
      </c>
      <c r="G193" s="136">
        <f>IFERROR(VLOOKUP(G$4,'Critical care'!$BM$5:$BU$18,3,FALSE),"")</f>
        <v>115.57142857142857</v>
      </c>
      <c r="H193" s="136">
        <f>IFERROR(VLOOKUP(H$4,'Critical care'!$BM$5:$BU$18,3,FALSE),"")</f>
        <v>142</v>
      </c>
      <c r="I193" s="136">
        <f>IFERROR(VLOOKUP(I$4,'Critical care'!$BM$5:$BU$18,3,FALSE),"")</f>
        <v>166.14285714285714</v>
      </c>
      <c r="J193" s="136">
        <f>IFERROR(VLOOKUP(J$4,'Critical care'!$BM$5:$BU$18,3,FALSE),"")</f>
        <v>113.14285714285714</v>
      </c>
      <c r="K193" s="136">
        <f>IFERROR(VLOOKUP(K$4,'Critical care'!$BM$5:$BU$18,3,FALSE),"")</f>
        <v>110</v>
      </c>
      <c r="L193" s="136">
        <f>IFERROR(VLOOKUP(L$4,'Critical care'!$BM$5:$BU$18,3,FALSE),"")</f>
        <v>123.57142857142857</v>
      </c>
      <c r="M193" s="136">
        <f>IFERROR(VLOOKUP(M$4,'Critical care'!$BM$5:$BU$18,3,FALSE),"")</f>
        <v>162</v>
      </c>
      <c r="N193" s="136">
        <f>IFERROR(VLOOKUP(N$4,'Critical care'!$BM$5:$BU$18,3,FALSE),"")</f>
        <v>199.57142857142858</v>
      </c>
      <c r="O193" s="136">
        <f>IFERROR(VLOOKUP(O$4,'Critical care'!$BM$5:$BU$18,3,FALSE),"")</f>
        <v>215.28571428571428</v>
      </c>
      <c r="P193" s="136">
        <f>IFERROR(VLOOKUP(P$4,'Critical care'!$BM$5:$BU$18,3,FALSE),"")</f>
        <v>214.14285714285714</v>
      </c>
      <c r="Q193" s="89" t="str">
        <f>IFERROR(VLOOKUP(Q$4,'Critical care'!$BM$5:$BT$19,3,FALSE),"")</f>
        <v/>
      </c>
    </row>
    <row r="194" spans="2:29" x14ac:dyDescent="0.35">
      <c r="B194" s="162"/>
      <c r="C194" s="1" t="s">
        <v>226</v>
      </c>
      <c r="D194" s="136">
        <f>IFERROR(VLOOKUP(D$4,'Critical care'!$BM$5:$BU$18,4,FALSE),"")</f>
        <v>172</v>
      </c>
      <c r="E194" s="136">
        <f>IFERROR(VLOOKUP(E$4,'Critical care'!$BM$5:$BU$18,4,FALSE),"")</f>
        <v>208.85714285714286</v>
      </c>
      <c r="F194" s="136">
        <f>IFERROR(VLOOKUP(F$4,'Critical care'!$BM$5:$BU$18,4,FALSE),"")</f>
        <v>216.42857142857142</v>
      </c>
      <c r="G194" s="136">
        <f>IFERROR(VLOOKUP(G$4,'Critical care'!$BM$5:$BU$18,4,FALSE),"")</f>
        <v>227.57142857142858</v>
      </c>
      <c r="H194" s="136">
        <f>IFERROR(VLOOKUP(H$4,'Critical care'!$BM$5:$BU$18,4,FALSE),"")</f>
        <v>193.71428571428572</v>
      </c>
      <c r="I194" s="136">
        <f>IFERROR(VLOOKUP(I$4,'Critical care'!$BM$5:$BU$18,4,FALSE),"")</f>
        <v>162.57142857142858</v>
      </c>
      <c r="J194" s="136">
        <f>IFERROR(VLOOKUP(J$4,'Critical care'!$BM$5:$BU$18,4,FALSE),"")</f>
        <v>137.85714285714286</v>
      </c>
      <c r="K194" s="136">
        <f>IFERROR(VLOOKUP(K$4,'Critical care'!$BM$5:$BU$18,4,FALSE),"")</f>
        <v>139.71428571428572</v>
      </c>
      <c r="L194" s="136">
        <f>IFERROR(VLOOKUP(L$4,'Critical care'!$BM$5:$BU$18,4,FALSE),"")</f>
        <v>137.85714285714286</v>
      </c>
      <c r="M194" s="136">
        <f>IFERROR(VLOOKUP(M$4,'Critical care'!$BM$5:$BU$18,4,FALSE),"")</f>
        <v>165.85714285714286</v>
      </c>
      <c r="N194" s="136">
        <f>IFERROR(VLOOKUP(N$4,'Critical care'!$BM$5:$BU$18,4,FALSE),"")</f>
        <v>183</v>
      </c>
      <c r="O194" s="136">
        <f>IFERROR(VLOOKUP(O$4,'Critical care'!$BM$5:$BU$18,4,FALSE),"")</f>
        <v>196.85714285714286</v>
      </c>
      <c r="P194" s="136">
        <f>IFERROR(VLOOKUP(P$4,'Critical care'!$BM$5:$BU$18,4,FALSE),"")</f>
        <v>206.42857142857142</v>
      </c>
      <c r="Q194" s="89" t="str">
        <f>IFERROR(VLOOKUP(Q$4,'Critical care'!$BM$5:$BT$19,4,FALSE),"")</f>
        <v/>
      </c>
    </row>
    <row r="195" spans="2:29" x14ac:dyDescent="0.35">
      <c r="B195" s="162"/>
      <c r="C195" s="1" t="s">
        <v>253</v>
      </c>
      <c r="D195" s="136">
        <f>IFERROR(VLOOKUP(D$4,'Critical care'!$BM$5:$BU$18,8,FALSE),"")</f>
        <v>116.71428571428571</v>
      </c>
      <c r="E195" s="136">
        <f>IFERROR(VLOOKUP(E$4,'Critical care'!$BM$5:$BU$18,8,FALSE),"")</f>
        <v>85</v>
      </c>
      <c r="F195" s="136">
        <f>IFERROR(VLOOKUP(F$4,'Critical care'!$BM$5:$BU$18,8,FALSE),"")</f>
        <v>84.285714285714292</v>
      </c>
      <c r="G195" s="136">
        <f>IFERROR(VLOOKUP(G$4,'Critical care'!$BM$5:$BU$18,8,FALSE),"")</f>
        <v>103.71428571428571</v>
      </c>
      <c r="H195" s="136">
        <f>IFERROR(VLOOKUP(H$4,'Critical care'!$BM$5:$BU$18,8,FALSE),"")</f>
        <v>84.142857142857139</v>
      </c>
      <c r="I195" s="136">
        <f>IFERROR(VLOOKUP(I$4,'Critical care'!$BM$5:$BU$18,8,FALSE),"")</f>
        <v>74.714285714285708</v>
      </c>
      <c r="J195" s="136">
        <f>IFERROR(VLOOKUP(J$4,'Critical care'!$BM$5:$BU$18,8,FALSE),"")</f>
        <v>92</v>
      </c>
      <c r="K195" s="136">
        <f>IFERROR(VLOOKUP(K$4,'Critical care'!$BM$5:$BU$18,8,FALSE),"")</f>
        <v>90</v>
      </c>
      <c r="L195" s="136">
        <f>IFERROR(VLOOKUP(L$4,'Critical care'!$BM$5:$BU$18,8,FALSE),"")</f>
        <v>90.285714285714292</v>
      </c>
      <c r="M195" s="136">
        <f>IFERROR(VLOOKUP(M$4,'Critical care'!$BM$5:$BU$18,8,FALSE),"")</f>
        <v>130.85714285714286</v>
      </c>
      <c r="N195" s="136">
        <f>IFERROR(VLOOKUP(N$4,'Critical care'!$BM$5:$BU$18,8,FALSE),"")</f>
        <v>166.42857142857142</v>
      </c>
      <c r="O195" s="136">
        <f>IFERROR(VLOOKUP(O$4,'Critical care'!$BM$5:$BU$18,8,FALSE),"")</f>
        <v>155.85714285714286</v>
      </c>
      <c r="P195" s="136">
        <f>IFERROR(VLOOKUP(P$4,'Critical care'!$BM$5:$BU$18,8,FALSE),"")</f>
        <v>144.71428571428572</v>
      </c>
      <c r="Q195" s="89"/>
    </row>
    <row r="196" spans="2:29" x14ac:dyDescent="0.35">
      <c r="B196" s="162"/>
      <c r="C196" s="1" t="s">
        <v>254</v>
      </c>
      <c r="D196" s="136">
        <f>IFERROR(VLOOKUP(D$4,'Critical care'!$BM$5:$BU$18,5,FALSE),"")</f>
        <v>211.42857142857142</v>
      </c>
      <c r="E196" s="136">
        <f>IFERROR(VLOOKUP(E$4,'Critical care'!$BM$5:$BU$18,5,FALSE),"")</f>
        <v>210.14285714285714</v>
      </c>
      <c r="F196" s="136">
        <f>IFERROR(VLOOKUP(F$4,'Critical care'!$BM$5:$BU$18,5,FALSE),"")</f>
        <v>196.28571428571428</v>
      </c>
      <c r="G196" s="136">
        <f>IFERROR(VLOOKUP(G$4,'Critical care'!$BM$5:$BU$18,5,FALSE),"")</f>
        <v>199.85714285714286</v>
      </c>
      <c r="H196" s="136">
        <f>IFERROR(VLOOKUP(H$4,'Critical care'!$BM$5:$BU$18,5,FALSE),"")</f>
        <v>183.57142857142858</v>
      </c>
      <c r="I196" s="136">
        <f>IFERROR(VLOOKUP(I$4,'Critical care'!$BM$5:$BU$18,5,FALSE),"")</f>
        <v>177.57142857142858</v>
      </c>
      <c r="J196" s="136">
        <f>IFERROR(VLOOKUP(J$4,'Critical care'!$BM$5:$BU$18,5,FALSE),"")</f>
        <v>174.85714285714286</v>
      </c>
      <c r="K196" s="136">
        <f>IFERROR(VLOOKUP(K$4,'Critical care'!$BM$5:$BU$18,5,FALSE),"")</f>
        <v>172</v>
      </c>
      <c r="L196" s="136">
        <f>IFERROR(VLOOKUP(L$4,'Critical care'!$BM$5:$BU$18,5,FALSE),"")</f>
        <v>176.71428571428572</v>
      </c>
      <c r="M196" s="136">
        <f>IFERROR(VLOOKUP(M$4,'Critical care'!$BM$5:$BU$18,5,FALSE),"")</f>
        <v>196</v>
      </c>
      <c r="N196" s="136">
        <f>IFERROR(VLOOKUP(N$4,'Critical care'!$BM$5:$BU$18,5,FALSE),"")</f>
        <v>209.71428571428572</v>
      </c>
      <c r="O196" s="136">
        <f>IFERROR(VLOOKUP(O$4,'Critical care'!$BM$5:$BU$18,5,FALSE),"")</f>
        <v>216.28571428571428</v>
      </c>
      <c r="P196" s="136">
        <f>IFERROR(VLOOKUP(P$4,'Critical care'!$BM$5:$BU$18,5,FALSE),"")</f>
        <v>232.14285714285714</v>
      </c>
      <c r="Q196" s="89"/>
    </row>
    <row r="197" spans="2:29" x14ac:dyDescent="0.35">
      <c r="B197" s="162"/>
      <c r="C197" s="1" t="s">
        <v>256</v>
      </c>
      <c r="D197" s="136">
        <f>IFERROR(VLOOKUP(D$4,'Critical care'!$BM$5:$BU$18,9,FALSE),"")</f>
        <v>186.14285714285714</v>
      </c>
      <c r="E197" s="136">
        <f>IFERROR(VLOOKUP(E$4,'Critical care'!$BM$5:$BU$18,9,FALSE),"")</f>
        <v>181.28571428571428</v>
      </c>
      <c r="F197" s="136">
        <f>IFERROR(VLOOKUP(F$4,'Critical care'!$BM$5:$BU$18,9,FALSE),"")</f>
        <v>168.85714285714286</v>
      </c>
      <c r="G197" s="136">
        <f>IFERROR(VLOOKUP(G$4,'Critical care'!$BM$5:$BU$18,9,FALSE),"")</f>
        <v>182</v>
      </c>
      <c r="H197" s="136">
        <f>IFERROR(VLOOKUP(H$4,'Critical care'!$BM$5:$BU$18,9,FALSE),"")</f>
        <v>155</v>
      </c>
      <c r="I197" s="136">
        <f>IFERROR(VLOOKUP(I$4,'Critical care'!$BM$5:$BU$18,9,FALSE),"")</f>
        <v>120.14285714285714</v>
      </c>
      <c r="J197" s="136">
        <f>IFERROR(VLOOKUP(J$4,'Critical care'!$BM$5:$BU$18,9,FALSE),"")</f>
        <v>111</v>
      </c>
      <c r="K197" s="136">
        <f>IFERROR(VLOOKUP(K$4,'Critical care'!$BM$5:$BU$18,9,FALSE),"")</f>
        <v>116</v>
      </c>
      <c r="L197" s="136">
        <f>IFERROR(VLOOKUP(L$4,'Critical care'!$BM$5:$BU$18,9,FALSE),"")</f>
        <v>149.14285714285714</v>
      </c>
      <c r="M197" s="136">
        <f>IFERROR(VLOOKUP(M$4,'Critical care'!$BM$5:$BU$18,9,FALSE),"")</f>
        <v>154.57142857142858</v>
      </c>
      <c r="N197" s="136">
        <f>IFERROR(VLOOKUP(N$4,'Critical care'!$BM$5:$BU$18,9,FALSE),"")</f>
        <v>162.71428571428572</v>
      </c>
      <c r="O197" s="136">
        <f>IFERROR(VLOOKUP(O$4,'Critical care'!$BM$5:$BU$18,9,FALSE),"")</f>
        <v>170.42857142857142</v>
      </c>
      <c r="P197" s="136">
        <f>IFERROR(VLOOKUP(P$4,'Critical care'!$BM$5:$BU$18,9,FALSE),"")</f>
        <v>173.71428571428572</v>
      </c>
      <c r="Q197" s="89" t="str">
        <f>IFERROR(VLOOKUP(Q$4,'Critical care'!$BM$5:$BT$19,5,FALSE),"")</f>
        <v/>
      </c>
    </row>
    <row r="198" spans="2:29" x14ac:dyDescent="0.35">
      <c r="B198" s="162"/>
      <c r="C198" s="1" t="s">
        <v>223</v>
      </c>
      <c r="D198" s="136">
        <f>IFERROR(VLOOKUP(D$4,'Critical care'!$BM$5:$BU$18,6,FALSE),"")</f>
        <v>143.71428571428572</v>
      </c>
      <c r="E198" s="136">
        <f>IFERROR(VLOOKUP(E$4,'Critical care'!$BM$5:$BU$18,6,FALSE),"")</f>
        <v>138.71428571428572</v>
      </c>
      <c r="F198" s="136">
        <f>IFERROR(VLOOKUP(F$4,'Critical care'!$BM$5:$BU$18,6,FALSE),"")</f>
        <v>114.14285714285714</v>
      </c>
      <c r="G198" s="136">
        <f>IFERROR(VLOOKUP(G$4,'Critical care'!$BM$5:$BU$18,6,FALSE),"")</f>
        <v>126.28571428571429</v>
      </c>
      <c r="H198" s="136">
        <f>IFERROR(VLOOKUP(H$4,'Critical care'!$BM$5:$BU$18,6,FALSE),"")</f>
        <v>97.857142857142861</v>
      </c>
      <c r="I198" s="136">
        <f>IFERROR(VLOOKUP(I$4,'Critical care'!$BM$5:$BU$18,6,FALSE),"")</f>
        <v>75.142857142857139</v>
      </c>
      <c r="J198" s="136">
        <f>IFERROR(VLOOKUP(J$4,'Critical care'!$BM$5:$BU$18,6,FALSE),"")</f>
        <v>71.714285714285708</v>
      </c>
      <c r="K198" s="136">
        <f>IFERROR(VLOOKUP(K$4,'Critical care'!$BM$5:$BU$18,6,FALSE),"")</f>
        <v>78.428571428571431</v>
      </c>
      <c r="L198" s="136">
        <f>IFERROR(VLOOKUP(L$4,'Critical care'!$BM$5:$BU$18,6,FALSE),"")</f>
        <v>84.428571428571431</v>
      </c>
      <c r="M198" s="136">
        <f>IFERROR(VLOOKUP(M$4,'Critical care'!$BM$5:$BU$18,6,FALSE),"")</f>
        <v>116.71428571428571</v>
      </c>
      <c r="N198" s="136">
        <f>IFERROR(VLOOKUP(N$4,'Critical care'!$BM$5:$BU$18,6,FALSE),"")</f>
        <v>147.71428571428572</v>
      </c>
      <c r="O198" s="136">
        <f>IFERROR(VLOOKUP(O$4,'Critical care'!$BM$5:$BU$18,6,FALSE),"")</f>
        <v>185</v>
      </c>
      <c r="P198" s="136">
        <f>IFERROR(VLOOKUP(P$4,'Critical care'!$BM$5:$BU$18,6,FALSE),"")</f>
        <v>199.85714285714286</v>
      </c>
      <c r="Q198" s="89" t="str">
        <f>IFERROR(VLOOKUP(Q$4,'Critical care'!$BM$5:$BT$19,6,FALSE),"")</f>
        <v/>
      </c>
      <c r="Z198" s="49"/>
      <c r="AA198" s="49"/>
      <c r="AB198" s="49"/>
      <c r="AC198" s="49"/>
    </row>
    <row r="199" spans="2:29" x14ac:dyDescent="0.35">
      <c r="B199" s="162"/>
      <c r="C199" s="11" t="s">
        <v>224</v>
      </c>
      <c r="D199" s="136">
        <f>IFERROR(VLOOKUP(D$4,'Critical care'!$BM$5:$BU$18,7,FALSE),"")</f>
        <v>150.14285714285714</v>
      </c>
      <c r="E199" s="136">
        <f>IFERROR(VLOOKUP(E$4,'Critical care'!$BM$5:$BU$18,7,FALSE),"")</f>
        <v>107.57142857142857</v>
      </c>
      <c r="F199" s="136">
        <f>IFERROR(VLOOKUP(F$4,'Critical care'!$BM$5:$BU$18,7,FALSE),"")</f>
        <v>70.285714285714292</v>
      </c>
      <c r="G199" s="136">
        <f>IFERROR(VLOOKUP(G$4,'Critical care'!$BM$5:$BU$18,7,FALSE),"")</f>
        <v>98.714285714285708</v>
      </c>
      <c r="H199" s="136">
        <f>IFERROR(VLOOKUP(H$4,'Critical care'!$BM$5:$BU$18,7,FALSE),"")</f>
        <v>99.285714285714292</v>
      </c>
      <c r="I199" s="136">
        <f>IFERROR(VLOOKUP(I$4,'Critical care'!$BM$5:$BU$18,7,FALSE),"")</f>
        <v>74.571428571428569</v>
      </c>
      <c r="J199" s="136">
        <f>IFERROR(VLOOKUP(J$4,'Critical care'!$BM$5:$BU$18,7,FALSE),"")</f>
        <v>66.857142857142861</v>
      </c>
      <c r="K199" s="136">
        <f>IFERROR(VLOOKUP(K$4,'Critical care'!$BM$5:$BU$18,7,FALSE),"")</f>
        <v>73.142857142857139</v>
      </c>
      <c r="L199" s="136">
        <f>IFERROR(VLOOKUP(L$4,'Critical care'!$BM$5:$BU$18,7,FALSE),"")</f>
        <v>88.428571428571431</v>
      </c>
      <c r="M199" s="136">
        <f>IFERROR(VLOOKUP(M$4,'Critical care'!$BM$5:$BU$18,7,FALSE),"")</f>
        <v>87.142857142857139</v>
      </c>
      <c r="N199" s="136">
        <f>IFERROR(VLOOKUP(N$4,'Critical care'!$BM$5:$BU$18,7,FALSE),"")</f>
        <v>113.42857142857143</v>
      </c>
      <c r="O199" s="136">
        <f>IFERROR(VLOOKUP(O$4,'Critical care'!$BM$5:$BU$18,7,FALSE),"")</f>
        <v>126.85714285714286</v>
      </c>
      <c r="P199" s="136">
        <f>IFERROR(VLOOKUP(P$4,'Critical care'!$BM$5:$BU$18,7,FALSE),"")</f>
        <v>142</v>
      </c>
      <c r="Q199" s="89" t="str">
        <f>IFERROR(VLOOKUP(Q$4,'Critical care'!$BM$5:$BT$19,7,FALSE),"")</f>
        <v/>
      </c>
      <c r="Z199" s="49"/>
      <c r="AA199" s="49"/>
      <c r="AB199" s="49"/>
      <c r="AC199" s="49"/>
    </row>
    <row r="200" spans="2:29" ht="30" customHeight="1" x14ac:dyDescent="0.35">
      <c r="C200" s="1"/>
    </row>
    <row r="201" spans="2:29" ht="15" customHeight="1" x14ac:dyDescent="0.35">
      <c r="B201" s="162" t="s">
        <v>16</v>
      </c>
      <c r="C201" s="12" t="s">
        <v>17</v>
      </c>
      <c r="D201" s="126">
        <v>0.8470066518847007</v>
      </c>
      <c r="E201" s="126">
        <v>0.79902329075882794</v>
      </c>
      <c r="F201" s="126">
        <v>0.80173482032218091</v>
      </c>
      <c r="G201" s="126">
        <v>0.75762784701332186</v>
      </c>
      <c r="H201" s="126">
        <v>0.73459119496855341</v>
      </c>
      <c r="I201" s="126">
        <v>0.79054726368159201</v>
      </c>
      <c r="J201" s="126">
        <v>0.8119218910585817</v>
      </c>
      <c r="K201" s="126">
        <v>0.7984415584415584</v>
      </c>
      <c r="L201" s="126">
        <v>0.80603015075376883</v>
      </c>
      <c r="M201" s="126">
        <v>0.7935710698141637</v>
      </c>
      <c r="N201" s="126">
        <v>0.79300000000000004</v>
      </c>
      <c r="O201" s="126">
        <v>0.77272727272727271</v>
      </c>
      <c r="P201" s="126">
        <v>0.75228891149542221</v>
      </c>
      <c r="Q201" s="3"/>
      <c r="R201" s="3"/>
      <c r="Z201" s="163" t="s">
        <v>33</v>
      </c>
      <c r="AA201" s="163"/>
      <c r="AB201" s="163"/>
      <c r="AC201" s="163"/>
    </row>
    <row r="202" spans="2:29" x14ac:dyDescent="0.35">
      <c r="B202" s="162"/>
      <c r="C202" s="1" t="s">
        <v>252</v>
      </c>
      <c r="D202" s="127">
        <v>0.86875315497223626</v>
      </c>
      <c r="E202" s="127">
        <v>0.85352255448555503</v>
      </c>
      <c r="F202" s="127">
        <v>0.85447195553309752</v>
      </c>
      <c r="G202" s="127">
        <v>0.82015503875968987</v>
      </c>
      <c r="H202" s="127">
        <v>0.80145152928978747</v>
      </c>
      <c r="I202" s="127">
        <v>0.8007284079084287</v>
      </c>
      <c r="J202" s="127">
        <v>0.79655712050078242</v>
      </c>
      <c r="K202" s="127">
        <v>0.77703398558187431</v>
      </c>
      <c r="L202" s="127">
        <v>0.78215767634854771</v>
      </c>
      <c r="M202" s="127">
        <v>0.7951370926021728</v>
      </c>
      <c r="N202" s="127">
        <v>0.75413223140495866</v>
      </c>
      <c r="O202" s="127">
        <v>0.77308294209702655</v>
      </c>
      <c r="P202" s="127">
        <v>0.78416149068322982</v>
      </c>
      <c r="Z202" s="163"/>
      <c r="AA202" s="163"/>
      <c r="AB202" s="163"/>
      <c r="AC202" s="163"/>
    </row>
    <row r="203" spans="2:29" ht="7.5" customHeight="1" x14ac:dyDescent="0.35">
      <c r="B203" s="162"/>
      <c r="D203" s="30">
        <v>0.85</v>
      </c>
      <c r="E203" s="30">
        <v>0.85</v>
      </c>
      <c r="F203" s="30">
        <v>0.85</v>
      </c>
      <c r="G203" s="30">
        <v>0.85</v>
      </c>
      <c r="H203" s="30">
        <v>0.85</v>
      </c>
      <c r="I203" s="30">
        <v>0.85</v>
      </c>
      <c r="J203" s="30">
        <v>0.85</v>
      </c>
      <c r="K203" s="30">
        <v>0.85</v>
      </c>
      <c r="L203" s="30">
        <v>0.85</v>
      </c>
      <c r="M203" s="30">
        <v>0.85</v>
      </c>
      <c r="N203" s="30">
        <v>0.85</v>
      </c>
      <c r="O203" s="30">
        <v>0.85</v>
      </c>
      <c r="P203" s="30">
        <v>0.85</v>
      </c>
      <c r="Q203" s="30">
        <v>0.85</v>
      </c>
      <c r="Z203" s="163"/>
      <c r="AA203" s="163"/>
      <c r="AB203" s="163"/>
      <c r="AC203" s="163"/>
    </row>
    <row r="204" spans="2:29" x14ac:dyDescent="0.35">
      <c r="B204" s="162"/>
      <c r="C204" s="16" t="s">
        <v>294</v>
      </c>
      <c r="D204" s="63">
        <f>IFERROR(VLOOKUP(D$4,PICU!$AA$5:$AI$18,2,FALSE),"")</f>
        <v>0.63000931966449203</v>
      </c>
      <c r="E204" s="63">
        <f>IFERROR(VLOOKUP(E$4,PICU!$AA$5:$AI$18,2,FALSE),"")</f>
        <v>0.63224068253255505</v>
      </c>
      <c r="F204" s="63">
        <f>IFERROR(VLOOKUP(F$4,PICU!$AA$5:$AI$18,2,FALSE),"")</f>
        <v>0.65779981965734902</v>
      </c>
      <c r="G204" s="63">
        <f>IFERROR(VLOOKUP(G$4,PICU!$AA$5:$AI$18,2,FALSE),"")</f>
        <v>0.64035087719298245</v>
      </c>
      <c r="H204" s="63">
        <f>IFERROR(VLOOKUP(H$4,PICU!$AA$5:$AI$18,2,FALSE),"")</f>
        <v>0.62046204620462042</v>
      </c>
      <c r="I204" s="63">
        <f>IFERROR(VLOOKUP(I$4,PICU!$AA$5:$AI$18,2,FALSE),"")</f>
        <v>0.63027656477438132</v>
      </c>
      <c r="J204" s="63">
        <f>IFERROR(VLOOKUP(J$4,PICU!$AA$5:$AI$18,2,FALSE),"")</f>
        <v>0.67001003009027083</v>
      </c>
      <c r="K204" s="63">
        <f>IFERROR(VLOOKUP(K$4,PICU!$AA$5:$AI$18,2,FALSE),"")</f>
        <v>0.70876826722338204</v>
      </c>
      <c r="L204" s="63">
        <f>IFERROR(VLOOKUP(L$4,PICU!$AA$5:$AI$18,2,FALSE),"")</f>
        <v>0.71752021563342316</v>
      </c>
      <c r="M204" s="63">
        <f>IFERROR(VLOOKUP(M$4,PICU!$AA$5:$AI$18,2,FALSE),"")</f>
        <v>0.68656716417910446</v>
      </c>
      <c r="N204" s="63">
        <f>IFERROR(VLOOKUP(N$4,PICU!$AA$5:$AI$18,2,FALSE),"")</f>
        <v>0.68619022031166044</v>
      </c>
      <c r="O204" s="63">
        <f>IFERROR(VLOOKUP(O$4,PICU!$AA$5:$AI$18,2,FALSE),"")</f>
        <v>0.6808176100628931</v>
      </c>
      <c r="P204" s="63">
        <f>IFERROR(VLOOKUP(P$4,PICU!$AA$5:$AI$18,2,FALSE),"")</f>
        <v>0.71501272264631044</v>
      </c>
      <c r="Q204" s="94" t="str">
        <f>IFERROR(VLOOKUP(Q$4,PICU!$AA$5:$AH$19,2,FALSE),"")</f>
        <v/>
      </c>
      <c r="Z204" s="163"/>
      <c r="AA204" s="163"/>
      <c r="AB204" s="163"/>
      <c r="AC204" s="163"/>
    </row>
    <row r="205" spans="2:29" x14ac:dyDescent="0.35">
      <c r="B205" s="162"/>
      <c r="C205" s="1" t="s">
        <v>1</v>
      </c>
      <c r="D205" s="137">
        <f>IFERROR(VLOOKUP(D$4,PICU!$AA$5:$AI$18,3,FALSE),"")</f>
        <v>0.52347826086956517</v>
      </c>
      <c r="E205" s="137">
        <f>IFERROR(VLOOKUP(E$4,PICU!$AA$5:$AI$18,3,FALSE),"")</f>
        <v>0.51321928460342148</v>
      </c>
      <c r="F205" s="137">
        <f>IFERROR(VLOOKUP(F$4,PICU!$AA$5:$AI$18,3,FALSE),"")</f>
        <v>0.54720000000000002</v>
      </c>
      <c r="G205" s="137">
        <f>IFERROR(VLOOKUP(G$4,PICU!$AA$5:$AI$18,3,FALSE),"")</f>
        <v>0.48922056384742951</v>
      </c>
      <c r="H205" s="137">
        <f>IFERROR(VLOOKUP(H$4,PICU!$AA$5:$AI$18,3,FALSE),"")</f>
        <v>0.57374100719424459</v>
      </c>
      <c r="I205" s="137">
        <f>IFERROR(VLOOKUP(I$4,PICU!$AA$5:$AI$18,3,FALSE),"")</f>
        <v>0.67272727272727273</v>
      </c>
      <c r="J205" s="137">
        <f>IFERROR(VLOOKUP(J$4,PICU!$AA$5:$AI$18,3,FALSE),"")</f>
        <v>0.65540540540540537</v>
      </c>
      <c r="K205" s="137">
        <f>IFERROR(VLOOKUP(K$4,PICU!$AA$5:$AI$18,3,FALSE),"")</f>
        <v>0.669047619047619</v>
      </c>
      <c r="L205" s="137">
        <f>IFERROR(VLOOKUP(L$4,PICU!$AA$5:$AI$18,3,FALSE),"")</f>
        <v>0.720873786407767</v>
      </c>
      <c r="M205" s="137">
        <f>IFERROR(VLOOKUP(M$4,PICU!$AA$5:$AI$18,3,FALSE),"")</f>
        <v>0.7345971563981043</v>
      </c>
      <c r="N205" s="137">
        <f>IFERROR(VLOOKUP(N$4,PICU!$AA$5:$AI$18,3,FALSE),"")</f>
        <v>0.74224343675417659</v>
      </c>
      <c r="O205" s="137">
        <f>IFERROR(VLOOKUP(O$4,PICU!$AA$5:$AI$18,3,FALSE),"")</f>
        <v>0.66888888888888887</v>
      </c>
      <c r="P205" s="137">
        <f>IFERROR(VLOOKUP(P$4,PICU!$AA$5:$AI$18,3,FALSE),"")</f>
        <v>0.70140280561122248</v>
      </c>
      <c r="Q205" s="69" t="str">
        <f>IFERROR(VLOOKUP(Q$4,PICU!$AA$5:$AH$19,3,FALSE),"")</f>
        <v/>
      </c>
      <c r="Z205" s="160" t="s">
        <v>430</v>
      </c>
      <c r="AA205" s="160"/>
      <c r="AB205" s="160"/>
      <c r="AC205" s="160"/>
    </row>
    <row r="206" spans="2:29" x14ac:dyDescent="0.35">
      <c r="B206" s="162"/>
      <c r="C206" s="1" t="s">
        <v>226</v>
      </c>
      <c r="D206" s="137">
        <f>IFERROR(VLOOKUP(D$4,PICU!$AA$5:$AI$18,4,FALSE),"")</f>
        <v>0.72643678160919545</v>
      </c>
      <c r="E206" s="137">
        <f>IFERROR(VLOOKUP(E$4,PICU!$AA$5:$AI$18,4,FALSE),"")</f>
        <v>0.69069767441860463</v>
      </c>
      <c r="F206" s="137">
        <f>IFERROR(VLOOKUP(F$4,PICU!$AA$5:$AI$18,4,FALSE),"")</f>
        <v>0.78669724770642202</v>
      </c>
      <c r="G206" s="137">
        <f>IFERROR(VLOOKUP(G$4,PICU!$AA$5:$AI$18,4,FALSE),"")</f>
        <v>0.78723404255319152</v>
      </c>
      <c r="H206" s="137">
        <f>IFERROR(VLOOKUP(H$4,PICU!$AA$5:$AI$18,4,FALSE),"")</f>
        <v>0.72663551401869164</v>
      </c>
      <c r="I206" s="137">
        <f>IFERROR(VLOOKUP(I$4,PICU!$AA$5:$AI$18,4,FALSE),"")</f>
        <v>0.74109263657957247</v>
      </c>
      <c r="J206" s="137">
        <f>IFERROR(VLOOKUP(J$4,PICU!$AA$5:$AI$18,4,FALSE),"")</f>
        <v>0.70873786407766992</v>
      </c>
      <c r="K206" s="137">
        <f>IFERROR(VLOOKUP(K$4,PICU!$AA$5:$AI$18,4,FALSE),"")</f>
        <v>0.80901856763925728</v>
      </c>
      <c r="L206" s="137">
        <f>IFERROR(VLOOKUP(L$4,PICU!$AA$5:$AI$18,4,FALSE),"")</f>
        <v>0.80738786279683372</v>
      </c>
      <c r="M206" s="137">
        <f>IFERROR(VLOOKUP(M$4,PICU!$AA$5:$AI$18,4,FALSE),"")</f>
        <v>0.75526315789473686</v>
      </c>
      <c r="N206" s="137">
        <f>IFERROR(VLOOKUP(N$4,PICU!$AA$5:$AI$18,4,FALSE),"")</f>
        <v>0.72062663185378595</v>
      </c>
      <c r="O206" s="137">
        <f>IFERROR(VLOOKUP(O$4,PICU!$AA$5:$AI$18,4,FALSE),"")</f>
        <v>0.74598930481283421</v>
      </c>
      <c r="P206" s="137">
        <f>IFERROR(VLOOKUP(P$4,PICU!$AA$5:$AI$18,4,FALSE),"")</f>
        <v>0.80371352785145889</v>
      </c>
      <c r="Q206" s="69" t="str">
        <f>IFERROR(VLOOKUP(Q$4,PICU!$AA$5:$AH$19,4,FALSE),"")</f>
        <v/>
      </c>
      <c r="Z206" s="160"/>
      <c r="AA206" s="160"/>
      <c r="AB206" s="160"/>
      <c r="AC206" s="160"/>
    </row>
    <row r="207" spans="2:29" x14ac:dyDescent="0.35">
      <c r="B207" s="162"/>
      <c r="C207" s="1" t="s">
        <v>253</v>
      </c>
      <c r="D207" s="137">
        <f>IFERROR(VLOOKUP(D$4,PICU!$AA$5:$AI$18,8,FALSE),"")</f>
        <v>0.26984126984126983</v>
      </c>
      <c r="E207" s="137">
        <f>IFERROR(VLOOKUP(E$4,PICU!$AA$5:$AI$18,8,FALSE),"")</f>
        <v>0.31746031746031744</v>
      </c>
      <c r="F207" s="137">
        <f>IFERROR(VLOOKUP(F$4,PICU!$AA$5:$AI$18,8,FALSE),"")</f>
        <v>0.25396825396825395</v>
      </c>
      <c r="G207" s="137">
        <f>IFERROR(VLOOKUP(G$4,PICU!$AA$5:$AI$18,8,FALSE),"")</f>
        <v>0.3968253968253968</v>
      </c>
      <c r="H207" s="137">
        <f>IFERROR(VLOOKUP(H$4,PICU!$AA$5:$AI$18,8,FALSE),"")</f>
        <v>0.36507936507936506</v>
      </c>
      <c r="I207" s="137">
        <f>IFERROR(VLOOKUP(I$4,PICU!$AA$5:$AI$18,8,FALSE),"")</f>
        <v>0.29508196721311475</v>
      </c>
      <c r="J207" s="137">
        <f>IFERROR(VLOOKUP(J$4,PICU!$AA$5:$AI$18,8,FALSE),"")</f>
        <v>0.30645161290322581</v>
      </c>
      <c r="K207" s="137">
        <f>IFERROR(VLOOKUP(K$4,PICU!$AA$5:$AI$18,8,FALSE),"")</f>
        <v>0.27536231884057971</v>
      </c>
      <c r="L207" s="137">
        <f>IFERROR(VLOOKUP(L$4,PICU!$AA$5:$AI$18,8,FALSE),"")</f>
        <v>0.46031746031746029</v>
      </c>
      <c r="M207" s="137">
        <f>IFERROR(VLOOKUP(M$4,PICU!$AA$5:$AI$18,8,FALSE),"")</f>
        <v>0.61290322580645162</v>
      </c>
      <c r="N207" s="137">
        <f>IFERROR(VLOOKUP(N$4,PICU!$AA$5:$AI$18,8,FALSE),"")</f>
        <v>0.30158730158730157</v>
      </c>
      <c r="O207" s="137">
        <f>IFERROR(VLOOKUP(O$4,PICU!$AA$5:$AI$18,8,FALSE),"")</f>
        <v>0.17460317460317459</v>
      </c>
      <c r="P207" s="137">
        <f>IFERROR(VLOOKUP(P$4,PICU!$AA$5:$AI$18,8,FALSE),"")</f>
        <v>0.50793650793650791</v>
      </c>
      <c r="Q207" s="69"/>
      <c r="Z207" s="160"/>
      <c r="AA207" s="160"/>
      <c r="AB207" s="160"/>
      <c r="AC207" s="160"/>
    </row>
    <row r="208" spans="2:29" x14ac:dyDescent="0.35">
      <c r="B208" s="162"/>
      <c r="C208" s="1" t="s">
        <v>254</v>
      </c>
      <c r="D208" s="137">
        <f>IFERROR(VLOOKUP(D$4,PICU!$AA$5:$AI$18,5,FALSE),"")</f>
        <v>0.58524173027989823</v>
      </c>
      <c r="E208" s="137">
        <f>IFERROR(VLOOKUP(E$4,PICU!$AA$5:$AI$18,5,FALSE),"")</f>
        <v>0.63636363636363635</v>
      </c>
      <c r="F208" s="137">
        <f>IFERROR(VLOOKUP(F$4,PICU!$AA$5:$AI$18,5,FALSE),"")</f>
        <v>0.59259259259259256</v>
      </c>
      <c r="G208" s="137">
        <f>IFERROR(VLOOKUP(G$4,PICU!$AA$5:$AI$18,5,FALSE),"")</f>
        <v>0.65508021390374327</v>
      </c>
      <c r="H208" s="137">
        <f>IFERROR(VLOOKUP(H$4,PICU!$AA$5:$AI$18,5,FALSE),"")</f>
        <v>0.56451612903225812</v>
      </c>
      <c r="I208" s="137">
        <f>IFERROR(VLOOKUP(I$4,PICU!$AA$5:$AI$18,5,FALSE),"")</f>
        <v>0.4943820224719101</v>
      </c>
      <c r="J208" s="137">
        <f>IFERROR(VLOOKUP(J$4,PICU!$AA$5:$AI$18,5,FALSE),"")</f>
        <v>0.59452054794520548</v>
      </c>
      <c r="K208" s="137">
        <f>IFERROR(VLOOKUP(K$4,PICU!$AA$5:$AI$18,5,FALSE),"")</f>
        <v>0.67493112947658407</v>
      </c>
      <c r="L208" s="137">
        <f>IFERROR(VLOOKUP(L$4,PICU!$AA$5:$AI$18,5,FALSE),"")</f>
        <v>0.65536723163841804</v>
      </c>
      <c r="M208" s="137">
        <f>IFERROR(VLOOKUP(M$4,PICU!$AA$5:$AI$18,5,FALSE),"")</f>
        <v>0.554016620498615</v>
      </c>
      <c r="N208" s="137">
        <f>IFERROR(VLOOKUP(N$4,PICU!$AA$5:$AI$18,5,FALSE),"")</f>
        <v>0.6563380281690141</v>
      </c>
      <c r="O208" s="137">
        <f>IFERROR(VLOOKUP(O$4,PICU!$AA$5:$AI$18,5,FALSE),"")</f>
        <v>0.66937669376693765</v>
      </c>
      <c r="P208" s="137">
        <f>IFERROR(VLOOKUP(P$4,PICU!$AA$5:$AI$18,5,FALSE),"")</f>
        <v>0.59610027855153203</v>
      </c>
      <c r="Q208" s="69"/>
      <c r="Z208" s="160"/>
      <c r="AA208" s="160"/>
      <c r="AB208" s="160"/>
      <c r="AC208" s="160"/>
    </row>
    <row r="209" spans="2:29" x14ac:dyDescent="0.35">
      <c r="B209" s="162"/>
      <c r="C209" s="1" t="s">
        <v>256</v>
      </c>
      <c r="D209" s="137">
        <f>IFERROR(VLOOKUP(D$4,PICU!$AA$5:$AI$18,9,FALSE),"")</f>
        <v>0.77297297297297296</v>
      </c>
      <c r="E209" s="137">
        <f>IFERROR(VLOOKUP(E$4,PICU!$AA$5:$AI$18,9,FALSE),"")</f>
        <v>0.77750611246943768</v>
      </c>
      <c r="F209" s="137">
        <f>IFERROR(VLOOKUP(F$4,PICU!$AA$5:$AI$18,9,FALSE),"")</f>
        <v>0.77696078431372551</v>
      </c>
      <c r="G209" s="137">
        <f>IFERROR(VLOOKUP(G$4,PICU!$AA$5:$AI$18,9,FALSE),"")</f>
        <v>0.71246819338422396</v>
      </c>
      <c r="H209" s="137">
        <f>IFERROR(VLOOKUP(H$4,PICU!$AA$5:$AI$18,9,FALSE),"")</f>
        <v>0.71827411167512689</v>
      </c>
      <c r="I209" s="137">
        <f>IFERROR(VLOOKUP(I$4,PICU!$AA$5:$AI$18,9,FALSE),"")</f>
        <v>0.66666666666666663</v>
      </c>
      <c r="J209" s="137">
        <f>IFERROR(VLOOKUP(J$4,PICU!$AA$5:$AI$18,9,FALSE),"")</f>
        <v>0.770573566084788</v>
      </c>
      <c r="K209" s="137">
        <f>IFERROR(VLOOKUP(K$4,PICU!$AA$5:$AI$18,9,FALSE),"")</f>
        <v>0.77023498694516968</v>
      </c>
      <c r="L209" s="137">
        <f>IFERROR(VLOOKUP(L$4,PICU!$AA$5:$AI$18,9,FALSE),"")</f>
        <v>0.79886685552407932</v>
      </c>
      <c r="M209" s="137">
        <f>IFERROR(VLOOKUP(M$4,PICU!$AA$5:$AI$18,9,FALSE),"")</f>
        <v>0.77591036414565828</v>
      </c>
      <c r="N209" s="137">
        <f>IFERROR(VLOOKUP(N$4,PICU!$AA$5:$AI$18,9,FALSE),"")</f>
        <v>0.71988795518207283</v>
      </c>
      <c r="O209" s="137">
        <f>IFERROR(VLOOKUP(O$4,PICU!$AA$5:$AI$18,9,FALSE),"")</f>
        <v>0.67654986522911054</v>
      </c>
      <c r="P209" s="137">
        <f>IFERROR(VLOOKUP(P$4,PICU!$AA$5:$AI$18,9,FALSE),"")</f>
        <v>0.74399999999999999</v>
      </c>
      <c r="Q209" s="69" t="str">
        <f>IFERROR(VLOOKUP(Q$4,PICU!$AA$5:$AH$19,5,FALSE),"")</f>
        <v/>
      </c>
      <c r="Z209" s="160"/>
      <c r="AA209" s="160"/>
      <c r="AB209" s="160"/>
      <c r="AC209" s="160"/>
    </row>
    <row r="210" spans="2:29" ht="16.5" customHeight="1" x14ac:dyDescent="0.35">
      <c r="B210" s="162"/>
      <c r="C210" s="1" t="s">
        <v>223</v>
      </c>
      <c r="D210" s="137">
        <f>IFERROR(VLOOKUP(D$4,PICU!$AA$5:$AI$18,6,FALSE),"")</f>
        <v>0.64673913043478259</v>
      </c>
      <c r="E210" s="137">
        <f>IFERROR(VLOOKUP(E$4,PICU!$AA$5:$AI$18,6,FALSE),"")</f>
        <v>0.73626373626373631</v>
      </c>
      <c r="F210" s="137">
        <f>IFERROR(VLOOKUP(F$4,PICU!$AA$5:$AI$18,6,FALSE),"")</f>
        <v>0.80769230769230771</v>
      </c>
      <c r="G210" s="137">
        <f>IFERROR(VLOOKUP(G$4,PICU!$AA$5:$AI$18,6,FALSE),"")</f>
        <v>0.75</v>
      </c>
      <c r="H210" s="137">
        <f>IFERROR(VLOOKUP(H$4,PICU!$AA$5:$AI$18,6,FALSE),"")</f>
        <v>0.53846153846153844</v>
      </c>
      <c r="I210" s="137">
        <f>IFERROR(VLOOKUP(I$4,PICU!$AA$5:$AI$18,6,FALSE),"")</f>
        <v>0.52197802197802201</v>
      </c>
      <c r="J210" s="137">
        <f>IFERROR(VLOOKUP(J$4,PICU!$AA$5:$AI$18,6,FALSE),"")</f>
        <v>0.61956521739130432</v>
      </c>
      <c r="K210" s="137">
        <f>IFERROR(VLOOKUP(K$4,PICU!$AA$5:$AI$18,6,FALSE),"")</f>
        <v>0.7696629213483146</v>
      </c>
      <c r="L210" s="137">
        <f>IFERROR(VLOOKUP(L$4,PICU!$AA$5:$AI$18,6,FALSE),"")</f>
        <v>0.70238095238095233</v>
      </c>
      <c r="M210" s="137">
        <f>IFERROR(VLOOKUP(M$4,PICU!$AA$5:$AI$18,6,FALSE),"")</f>
        <v>0.68452380952380953</v>
      </c>
      <c r="N210" s="137">
        <f>IFERROR(VLOOKUP(N$4,PICU!$AA$5:$AI$18,6,FALSE),"")</f>
        <v>0.59493670886075944</v>
      </c>
      <c r="O210" s="137">
        <f>IFERROR(VLOOKUP(O$4,PICU!$AA$5:$AI$18,6,FALSE),"")</f>
        <v>0.65161290322580645</v>
      </c>
      <c r="P210" s="137">
        <f>IFERROR(VLOOKUP(P$4,PICU!$AA$5:$AI$18,6,FALSE),"")</f>
        <v>0.71084337349397586</v>
      </c>
      <c r="Q210" s="69" t="str">
        <f>IFERROR(VLOOKUP(Q$4,PICU!$AA$5:$AH$19,6,FALSE),"")</f>
        <v/>
      </c>
      <c r="Z210" s="160"/>
      <c r="AA210" s="160"/>
      <c r="AB210" s="160"/>
      <c r="AC210" s="160"/>
    </row>
    <row r="211" spans="2:29" ht="16.5" customHeight="1" x14ac:dyDescent="0.35">
      <c r="B211" s="162"/>
      <c r="C211" s="11" t="s">
        <v>224</v>
      </c>
      <c r="D211" s="137">
        <f>IFERROR(VLOOKUP(D$4,PICU!$AA$5:$AI$18,7,FALSE),"")</f>
        <v>0.65873015873015872</v>
      </c>
      <c r="E211" s="137">
        <f>IFERROR(VLOOKUP(E$4,PICU!$AA$5:$AI$18,7,FALSE),"")</f>
        <v>0.56349206349206349</v>
      </c>
      <c r="F211" s="137">
        <f>IFERROR(VLOOKUP(F$4,PICU!$AA$5:$AI$18,7,FALSE),"")</f>
        <v>0.55555555555555558</v>
      </c>
      <c r="G211" s="137">
        <f>IFERROR(VLOOKUP(G$4,PICU!$AA$5:$AI$18,7,FALSE),"")</f>
        <v>0.56349206349206349</v>
      </c>
      <c r="H211" s="137">
        <f>IFERROR(VLOOKUP(H$4,PICU!$AA$5:$AI$18,7,FALSE),"")</f>
        <v>0.5714285714285714</v>
      </c>
      <c r="I211" s="137">
        <f>IFERROR(VLOOKUP(I$4,PICU!$AA$5:$AI$18,7,FALSE),"")</f>
        <v>0.67460317460317465</v>
      </c>
      <c r="J211" s="137">
        <f>IFERROR(VLOOKUP(J$4,PICU!$AA$5:$AI$18,7,FALSE),"")</f>
        <v>0.74603174603174605</v>
      </c>
      <c r="K211" s="137">
        <f>IFERROR(VLOOKUP(K$4,PICU!$AA$5:$AI$18,7,FALSE),"")</f>
        <v>0.60317460317460314</v>
      </c>
      <c r="L211" s="137">
        <f>IFERROR(VLOOKUP(L$4,PICU!$AA$5:$AI$18,7,FALSE),"")</f>
        <v>0.53174603174603174</v>
      </c>
      <c r="M211" s="137">
        <f>IFERROR(VLOOKUP(M$4,PICU!$AA$5:$AI$18,7,FALSE),"")</f>
        <v>0.48412698412698413</v>
      </c>
      <c r="N211" s="137">
        <f>IFERROR(VLOOKUP(N$4,PICU!$AA$5:$AI$18,7,FALSE),"")</f>
        <v>0.69047619047619047</v>
      </c>
      <c r="O211" s="137">
        <f>IFERROR(VLOOKUP(O$4,PICU!$AA$5:$AI$18,7,FALSE),"")</f>
        <v>0.86507936507936511</v>
      </c>
      <c r="P211" s="137">
        <f>IFERROR(VLOOKUP(P$4,PICU!$AA$5:$AI$18,7,FALSE),"")</f>
        <v>0.86507936507936511</v>
      </c>
      <c r="Q211" s="69" t="str">
        <f>IFERROR(VLOOKUP(Q$4,PICU!$AA$5:$AH$19,7,FALSE),"")</f>
        <v/>
      </c>
      <c r="Z211" s="160"/>
      <c r="AA211" s="160"/>
      <c r="AB211" s="160"/>
      <c r="AC211" s="160"/>
    </row>
    <row r="212" spans="2:29" x14ac:dyDescent="0.35">
      <c r="B212" s="162"/>
      <c r="C212" s="11"/>
      <c r="D212" s="64"/>
      <c r="E212" s="64"/>
      <c r="F212" s="64"/>
      <c r="G212" s="64"/>
      <c r="H212" s="64"/>
      <c r="I212" s="64"/>
      <c r="J212" s="64"/>
      <c r="K212" s="64"/>
      <c r="L212" s="64"/>
      <c r="M212" s="64"/>
      <c r="N212" s="64"/>
      <c r="O212" s="64"/>
      <c r="P212" s="64"/>
      <c r="Q212" s="64"/>
      <c r="Z212" s="160"/>
      <c r="AA212" s="160"/>
      <c r="AB212" s="160"/>
      <c r="AC212" s="160"/>
    </row>
    <row r="213" spans="2:29" x14ac:dyDescent="0.35">
      <c r="B213" s="162"/>
      <c r="C213" s="12" t="s">
        <v>18</v>
      </c>
      <c r="D213" s="118">
        <v>59.142857142857146</v>
      </c>
      <c r="E213" s="118">
        <v>76.428571428571431</v>
      </c>
      <c r="F213" s="118">
        <v>68.571428571428569</v>
      </c>
      <c r="G213" s="118">
        <v>80.571428571428569</v>
      </c>
      <c r="H213" s="118">
        <v>90.428571428571431</v>
      </c>
      <c r="I213" s="118">
        <v>60.142857142857146</v>
      </c>
      <c r="J213" s="118">
        <v>52.285714285714285</v>
      </c>
      <c r="K213" s="118">
        <v>55.428571428571431</v>
      </c>
      <c r="L213" s="118">
        <v>55.142857142857146</v>
      </c>
      <c r="M213" s="118">
        <v>58.714285714285715</v>
      </c>
      <c r="N213" s="118">
        <v>59.142857142857146</v>
      </c>
      <c r="O213" s="118">
        <v>63.571428571428569</v>
      </c>
      <c r="P213" s="118">
        <v>69.571428571428569</v>
      </c>
      <c r="Z213" s="160"/>
      <c r="AA213" s="160"/>
      <c r="AB213" s="160"/>
      <c r="AC213" s="160"/>
    </row>
    <row r="214" spans="2:29" x14ac:dyDescent="0.35">
      <c r="B214" s="162"/>
      <c r="C214" s="11" t="s">
        <v>252</v>
      </c>
      <c r="D214" s="29">
        <v>37.142857142857146</v>
      </c>
      <c r="E214" s="29">
        <v>41.285714285714285</v>
      </c>
      <c r="F214" s="29">
        <v>41.142857142857146</v>
      </c>
      <c r="G214" s="29">
        <v>49.714285714285715</v>
      </c>
      <c r="H214" s="29">
        <v>54.714285714285715</v>
      </c>
      <c r="I214" s="29">
        <v>54.714285714285715</v>
      </c>
      <c r="J214" s="29">
        <v>55.714285714285715</v>
      </c>
      <c r="K214" s="29">
        <v>61.857142857142854</v>
      </c>
      <c r="L214" s="29">
        <v>60</v>
      </c>
      <c r="M214" s="29">
        <v>56.571428571428569</v>
      </c>
      <c r="N214" s="29">
        <v>68</v>
      </c>
      <c r="O214" s="29">
        <v>62.142857142857146</v>
      </c>
      <c r="P214" s="29">
        <v>59.571428571428569</v>
      </c>
      <c r="Z214" s="160"/>
      <c r="AA214" s="160"/>
      <c r="AB214" s="160"/>
      <c r="AC214" s="160"/>
    </row>
    <row r="215" spans="2:29" ht="7.5" customHeight="1" x14ac:dyDescent="0.35">
      <c r="B215" s="162"/>
      <c r="Z215" s="160"/>
      <c r="AA215" s="160"/>
      <c r="AB215" s="160"/>
      <c r="AC215" s="160"/>
    </row>
    <row r="216" spans="2:29" x14ac:dyDescent="0.35">
      <c r="B216" s="162"/>
      <c r="C216" s="16" t="s">
        <v>294</v>
      </c>
      <c r="D216" s="62">
        <f>IFERROR(VLOOKUP(D$4,PICU!$BM$5:'PICU'!$BU$18,2,FALSE),"")</f>
        <v>113.42857142857143</v>
      </c>
      <c r="E216" s="62">
        <f>IFERROR(VLOOKUP(E$4,PICU!$BM$5:'PICU'!$BU$18,2,FALSE),"")</f>
        <v>117</v>
      </c>
      <c r="F216" s="62">
        <f>IFERROR(VLOOKUP(F$4,PICU!$BM$5:'PICU'!$BU$18,2,FALSE),"")</f>
        <v>108.42857142857143</v>
      </c>
      <c r="G216" s="62">
        <f>IFERROR(VLOOKUP(G$4,PICU!$BM$5:'PICU'!$BU$18,2,FALSE),"")</f>
        <v>111.28571428571429</v>
      </c>
      <c r="H216" s="62">
        <f>IFERROR(VLOOKUP(H$4,PICU!$BM$5:'PICU'!$BU$18,2,FALSE),"")</f>
        <v>115</v>
      </c>
      <c r="I216" s="62">
        <f>IFERROR(VLOOKUP(I$4,PICU!$BM$5:'PICU'!$BU$18,2,FALSE),"")</f>
        <v>108.85714285714286</v>
      </c>
      <c r="J216" s="62">
        <f>IFERROR(VLOOKUP(J$4,PICU!$BM$5:'PICU'!$BU$18,2,FALSE),"")</f>
        <v>94</v>
      </c>
      <c r="K216" s="62">
        <f>IFERROR(VLOOKUP(K$4,PICU!$BM$5:'PICU'!$BU$18,2,FALSE),"")</f>
        <v>79.714285714285708</v>
      </c>
      <c r="L216" s="62">
        <f>IFERROR(VLOOKUP(L$4,PICU!$BM$5:'PICU'!$BU$18,2,FALSE),"")</f>
        <v>74.857142857142861</v>
      </c>
      <c r="M216" s="62">
        <f>IFERROR(VLOOKUP(M$4,PICU!$BM$5:'PICU'!$BU$18,2,FALSE),"")</f>
        <v>84</v>
      </c>
      <c r="N216" s="62">
        <f>IFERROR(VLOOKUP(N$4,PICU!$BM$5:'PICU'!$BU$18,2,FALSE),"")</f>
        <v>83.428571428571431</v>
      </c>
      <c r="O216" s="62">
        <f>IFERROR(VLOOKUP(O$4,PICU!$BM$5:'PICU'!$BU$18,2,FALSE),"")</f>
        <v>87</v>
      </c>
      <c r="P216" s="62">
        <f>IFERROR(VLOOKUP(P$4,PICU!$BM$5:'PICU'!$BU$18,2,FALSE),"")</f>
        <v>80</v>
      </c>
      <c r="Q216" s="95" t="str">
        <f>IFERROR(VLOOKUP(Q$4,PICU!$BM$5:'PICU'!$BT$19,2,FALSE),"")</f>
        <v/>
      </c>
      <c r="Z216" s="160"/>
      <c r="AA216" s="160"/>
      <c r="AB216" s="160"/>
      <c r="AC216" s="160"/>
    </row>
    <row r="217" spans="2:29" x14ac:dyDescent="0.35">
      <c r="B217" s="162"/>
      <c r="C217" s="1" t="s">
        <v>1</v>
      </c>
      <c r="D217" s="136">
        <f>IFERROR(VLOOKUP(D$4,PICU!$BM$5:'PICU'!$BU$18,3,FALSE),"")</f>
        <v>39.142857142857146</v>
      </c>
      <c r="E217" s="136">
        <f>IFERROR(VLOOKUP(E$4,PICU!$BM$5:'PICU'!$BU$18,3,FALSE),"")</f>
        <v>44.714285714285715</v>
      </c>
      <c r="F217" s="136">
        <f>IFERROR(VLOOKUP(F$4,PICU!$BM$5:'PICU'!$BU$18,3,FALSE),"")</f>
        <v>40.428571428571431</v>
      </c>
      <c r="G217" s="136">
        <f>IFERROR(VLOOKUP(G$4,PICU!$BM$5:'PICU'!$BU$18,3,FALSE),"")</f>
        <v>44</v>
      </c>
      <c r="H217" s="136">
        <f>IFERROR(VLOOKUP(H$4,PICU!$BM$5:'PICU'!$BU$18,3,FALSE),"")</f>
        <v>33.857142857142854</v>
      </c>
      <c r="I217" s="136">
        <f>IFERROR(VLOOKUP(I$4,PICU!$BM$5:'PICU'!$BU$18,3,FALSE),"")</f>
        <v>23.142857142857142</v>
      </c>
      <c r="J217" s="136">
        <f>IFERROR(VLOOKUP(J$4,PICU!$BM$5:'PICU'!$BU$18,3,FALSE),"")</f>
        <v>21.857142857142858</v>
      </c>
      <c r="K217" s="136">
        <f>IFERROR(VLOOKUP(K$4,PICU!$BM$5:'PICU'!$BU$18,3,FALSE),"")</f>
        <v>19.857142857142858</v>
      </c>
      <c r="L217" s="136">
        <f>IFERROR(VLOOKUP(L$4,PICU!$BM$5:'PICU'!$BU$18,3,FALSE),"")</f>
        <v>16.428571428571427</v>
      </c>
      <c r="M217" s="136">
        <f>IFERROR(VLOOKUP(M$4,PICU!$BM$5:'PICU'!$BU$18,3,FALSE),"")</f>
        <v>16</v>
      </c>
      <c r="N217" s="136">
        <f>IFERROR(VLOOKUP(N$4,PICU!$BM$5:'PICU'!$BU$18,3,FALSE),"")</f>
        <v>15.428571428571429</v>
      </c>
      <c r="O217" s="136">
        <f>IFERROR(VLOOKUP(O$4,PICU!$BM$5:'PICU'!$BU$18,3,FALSE),"")</f>
        <v>21.285714285714285</v>
      </c>
      <c r="P217" s="136">
        <f>IFERROR(VLOOKUP(P$4,PICU!$BM$5:'PICU'!$BU$18,3,FALSE),"")</f>
        <v>21.285714285714285</v>
      </c>
      <c r="Q217" s="96" t="str">
        <f>IFERROR(VLOOKUP(Q$4,PICU!$BM$5:'PICU'!$BT$19,3,FALSE),"")</f>
        <v/>
      </c>
      <c r="T217" s="3"/>
      <c r="Z217" s="160"/>
      <c r="AA217" s="160"/>
      <c r="AB217" s="160"/>
      <c r="AC217" s="160"/>
    </row>
    <row r="218" spans="2:29" x14ac:dyDescent="0.35">
      <c r="B218" s="162"/>
      <c r="C218" s="1" t="s">
        <v>226</v>
      </c>
      <c r="D218" s="136">
        <f>IFERROR(VLOOKUP(D$4,PICU!$BM$5:'PICU'!$BU$18,4,FALSE),"")</f>
        <v>17</v>
      </c>
      <c r="E218" s="136">
        <f>IFERROR(VLOOKUP(E$4,PICU!$BM$5:'PICU'!$BU$18,4,FALSE),"")</f>
        <v>19</v>
      </c>
      <c r="F218" s="136">
        <f>IFERROR(VLOOKUP(F$4,PICU!$BM$5:'PICU'!$BU$18,4,FALSE),"")</f>
        <v>13.285714285714286</v>
      </c>
      <c r="G218" s="136">
        <f>IFERROR(VLOOKUP(G$4,PICU!$BM$5:'PICU'!$BU$18,4,FALSE),"")</f>
        <v>12.857142857142858</v>
      </c>
      <c r="H218" s="136">
        <f>IFERROR(VLOOKUP(H$4,PICU!$BM$5:'PICU'!$BU$18,4,FALSE),"")</f>
        <v>16.714285714285715</v>
      </c>
      <c r="I218" s="136">
        <f>IFERROR(VLOOKUP(I$4,PICU!$BM$5:'PICU'!$BU$18,4,FALSE),"")</f>
        <v>15.571428571428571</v>
      </c>
      <c r="J218" s="136">
        <f>IFERROR(VLOOKUP(J$4,PICU!$BM$5:'PICU'!$BU$18,4,FALSE),"")</f>
        <v>17.142857142857142</v>
      </c>
      <c r="K218" s="136">
        <f>IFERROR(VLOOKUP(K$4,PICU!$BM$5:'PICU'!$BU$18,4,FALSE),"")</f>
        <v>10.285714285714286</v>
      </c>
      <c r="L218" s="136">
        <f>IFERROR(VLOOKUP(L$4,PICU!$BM$5:'PICU'!$BU$18,4,FALSE),"")</f>
        <v>10.428571428571429</v>
      </c>
      <c r="M218" s="136">
        <f>IFERROR(VLOOKUP(M$4,PICU!$BM$5:'PICU'!$BU$18,4,FALSE),"")</f>
        <v>13.285714285714286</v>
      </c>
      <c r="N218" s="136">
        <f>IFERROR(VLOOKUP(N$4,PICU!$BM$5:'PICU'!$BU$18,4,FALSE),"")</f>
        <v>15.285714285714286</v>
      </c>
      <c r="O218" s="136">
        <f>IFERROR(VLOOKUP(O$4,PICU!$BM$5:'PICU'!$BU$18,4,FALSE),"")</f>
        <v>13.571428571428571</v>
      </c>
      <c r="P218" s="136">
        <f>IFERROR(VLOOKUP(P$4,PICU!$BM$5:'PICU'!$BU$18,4,FALSE),"")</f>
        <v>10.571428571428571</v>
      </c>
      <c r="Q218" s="96" t="str">
        <f>IFERROR(VLOOKUP(Q$4,PICU!$BM$5:'PICU'!$BT$19,4,FALSE),"")</f>
        <v/>
      </c>
      <c r="Z218" s="160"/>
      <c r="AA218" s="160"/>
      <c r="AB218" s="160"/>
      <c r="AC218" s="160"/>
    </row>
    <row r="219" spans="2:29" x14ac:dyDescent="0.35">
      <c r="B219" s="162"/>
      <c r="C219" s="1" t="s">
        <v>253</v>
      </c>
      <c r="D219" s="136">
        <f>IFERROR(VLOOKUP(D$4,PICU!$BM$5:'PICU'!$BU$18,8,FALSE),"")</f>
        <v>6.5714285714285712</v>
      </c>
      <c r="E219" s="136">
        <f>IFERROR(VLOOKUP(E$4,PICU!$BM$5:'PICU'!$BU$18,8,FALSE),"")</f>
        <v>6.1428571428571432</v>
      </c>
      <c r="F219" s="136">
        <f>IFERROR(VLOOKUP(F$4,PICU!$BM$5:'PICU'!$BU$18,8,FALSE),"")</f>
        <v>6.7142857142857144</v>
      </c>
      <c r="G219" s="136">
        <f>IFERROR(VLOOKUP(G$4,PICU!$BM$5:'PICU'!$BU$18,8,FALSE),"")</f>
        <v>5.4285714285714288</v>
      </c>
      <c r="H219" s="136">
        <f>IFERROR(VLOOKUP(H$4,PICU!$BM$5:'PICU'!$BU$18,8,FALSE),"")</f>
        <v>5.7142857142857144</v>
      </c>
      <c r="I219" s="136">
        <f>IFERROR(VLOOKUP(I$4,PICU!$BM$5:'PICU'!$BU$18,8,FALSE),"")</f>
        <v>6.1428571428571432</v>
      </c>
      <c r="J219" s="136">
        <f>IFERROR(VLOOKUP(J$4,PICU!$BM$5:'PICU'!$BU$18,8,FALSE),"")</f>
        <v>6.1428571428571432</v>
      </c>
      <c r="K219" s="136">
        <f>IFERROR(VLOOKUP(K$4,PICU!$BM$5:'PICU'!$BU$18,8,FALSE),"")</f>
        <v>7.1428571428571432</v>
      </c>
      <c r="L219" s="136">
        <f>IFERROR(VLOOKUP(L$4,PICU!$BM$5:'PICU'!$BU$18,8,FALSE),"")</f>
        <v>4.8571428571428568</v>
      </c>
      <c r="M219" s="136">
        <f>IFERROR(VLOOKUP(M$4,PICU!$BM$5:'PICU'!$BU$18,8,FALSE),"")</f>
        <v>3.4285714285714284</v>
      </c>
      <c r="N219" s="136">
        <f>IFERROR(VLOOKUP(N$4,PICU!$BM$5:'PICU'!$BU$18,8,FALSE),"")</f>
        <v>6.2857142857142856</v>
      </c>
      <c r="O219" s="136">
        <f>IFERROR(VLOOKUP(O$4,PICU!$BM$5:'PICU'!$BU$18,8,FALSE),"")</f>
        <v>7.4285714285714288</v>
      </c>
      <c r="P219" s="136">
        <f>IFERROR(VLOOKUP(P$4,PICU!$BM$5:'PICU'!$BU$18,8,FALSE),"")</f>
        <v>4.4285714285714288</v>
      </c>
      <c r="Q219" s="96"/>
      <c r="Z219" s="160"/>
      <c r="AA219" s="160"/>
      <c r="AB219" s="160"/>
      <c r="AC219" s="160"/>
    </row>
    <row r="220" spans="2:29" x14ac:dyDescent="0.35">
      <c r="B220" s="162"/>
      <c r="C220" s="1" t="s">
        <v>254</v>
      </c>
      <c r="D220" s="136">
        <f>IFERROR(VLOOKUP(D$4,PICU!$BM$5:'PICU'!$BU$18,5,FALSE),"")</f>
        <v>23.285714285714285</v>
      </c>
      <c r="E220" s="136">
        <f>IFERROR(VLOOKUP(E$4,PICU!$BM$5:'PICU'!$BU$18,5,FALSE),"")</f>
        <v>19.428571428571427</v>
      </c>
      <c r="F220" s="136">
        <f>IFERROR(VLOOKUP(F$4,PICU!$BM$5:'PICU'!$BU$18,5,FALSE),"")</f>
        <v>22</v>
      </c>
      <c r="G220" s="136">
        <f>IFERROR(VLOOKUP(G$4,PICU!$BM$5:'PICU'!$BU$18,5,FALSE),"")</f>
        <v>18.428571428571427</v>
      </c>
      <c r="H220" s="136">
        <f>IFERROR(VLOOKUP(H$4,PICU!$BM$5:'PICU'!$BU$18,5,FALSE),"")</f>
        <v>23.142857142857142</v>
      </c>
      <c r="I220" s="136">
        <f>IFERROR(VLOOKUP(I$4,PICU!$BM$5:'PICU'!$BU$18,5,FALSE),"")</f>
        <v>25.714285714285715</v>
      </c>
      <c r="J220" s="136">
        <f>IFERROR(VLOOKUP(J$4,PICU!$BM$5:'PICU'!$BU$18,5,FALSE),"")</f>
        <v>21.142857142857142</v>
      </c>
      <c r="K220" s="136">
        <f>IFERROR(VLOOKUP(K$4,PICU!$BM$5:'PICU'!$BU$18,5,FALSE),"")</f>
        <v>16.857142857142858</v>
      </c>
      <c r="L220" s="136">
        <f>IFERROR(VLOOKUP(L$4,PICU!$BM$5:'PICU'!$BU$18,5,FALSE),"")</f>
        <v>17.428571428571427</v>
      </c>
      <c r="M220" s="136">
        <f>IFERROR(VLOOKUP(M$4,PICU!$BM$5:'PICU'!$BU$18,5,FALSE),"")</f>
        <v>23</v>
      </c>
      <c r="N220" s="136">
        <f>IFERROR(VLOOKUP(N$4,PICU!$BM$5:'PICU'!$BU$18,5,FALSE),"")</f>
        <v>17.428571428571427</v>
      </c>
      <c r="O220" s="136">
        <f>IFERROR(VLOOKUP(O$4,PICU!$BM$5:'PICU'!$BU$18,5,FALSE),"")</f>
        <v>17.428571428571427</v>
      </c>
      <c r="P220" s="136">
        <f>IFERROR(VLOOKUP(P$4,PICU!$BM$5:'PICU'!$BU$18,5,FALSE),"")</f>
        <v>20.714285714285715</v>
      </c>
      <c r="Q220" s="96"/>
      <c r="Z220" s="160"/>
      <c r="AA220" s="160"/>
      <c r="AB220" s="160"/>
      <c r="AC220" s="160"/>
    </row>
    <row r="221" spans="2:29" x14ac:dyDescent="0.35">
      <c r="B221" s="162"/>
      <c r="C221" s="1" t="s">
        <v>256</v>
      </c>
      <c r="D221" s="136">
        <f>IFERROR(VLOOKUP(D$4,PICU!$BM$5:'PICU'!$BU$18,9,FALSE),"")</f>
        <v>12</v>
      </c>
      <c r="E221" s="136">
        <f>IFERROR(VLOOKUP(E$4,PICU!$BM$5:'PICU'!$BU$18,9,FALSE),"")</f>
        <v>13</v>
      </c>
      <c r="F221" s="136">
        <f>IFERROR(VLOOKUP(F$4,PICU!$BM$5:'PICU'!$BU$18,9,FALSE),"")</f>
        <v>13</v>
      </c>
      <c r="G221" s="136">
        <f>IFERROR(VLOOKUP(G$4,PICU!$BM$5:'PICU'!$BU$18,9,FALSE),"")</f>
        <v>16.142857142857142</v>
      </c>
      <c r="H221" s="136">
        <f>IFERROR(VLOOKUP(H$4,PICU!$BM$5:'PICU'!$BU$18,9,FALSE),"")</f>
        <v>15.857142857142858</v>
      </c>
      <c r="I221" s="136">
        <f>IFERROR(VLOOKUP(I$4,PICU!$BM$5:'PICU'!$BU$18,9,FALSE),"")</f>
        <v>20</v>
      </c>
      <c r="J221" s="136">
        <f>IFERROR(VLOOKUP(J$4,PICU!$BM$5:'PICU'!$BU$18,9,FALSE),"")</f>
        <v>13.142857142857142</v>
      </c>
      <c r="K221" s="136">
        <f>IFERROR(VLOOKUP(K$4,PICU!$BM$5:'PICU'!$BU$18,9,FALSE),"")</f>
        <v>12.571428571428571</v>
      </c>
      <c r="L221" s="136">
        <f>IFERROR(VLOOKUP(L$4,PICU!$BM$5:'PICU'!$BU$18,9,FALSE),"")</f>
        <v>10.142857142857142</v>
      </c>
      <c r="M221" s="136">
        <f>IFERROR(VLOOKUP(M$4,PICU!$BM$5:'PICU'!$BU$18,9,FALSE),"")</f>
        <v>11.428571428571429</v>
      </c>
      <c r="N221" s="136">
        <f>IFERROR(VLOOKUP(N$4,PICU!$BM$5:'PICU'!$BU$18,9,FALSE),"")</f>
        <v>14.285714285714286</v>
      </c>
      <c r="O221" s="136">
        <f>IFERROR(VLOOKUP(O$4,PICU!$BM$5:'PICU'!$BU$18,9,FALSE),"")</f>
        <v>17.142857142857142</v>
      </c>
      <c r="P221" s="136">
        <f>IFERROR(VLOOKUP(P$4,PICU!$BM$5:'PICU'!$BU$18,9,FALSE),"")</f>
        <v>13.714285714285714</v>
      </c>
      <c r="Q221" s="96" t="str">
        <f>IFERROR(VLOOKUP(Q$4,PICU!$BM$5:'PICU'!$BT$19,5,FALSE),"")</f>
        <v/>
      </c>
      <c r="Z221" s="160"/>
      <c r="AA221" s="160"/>
      <c r="AB221" s="160"/>
      <c r="AC221" s="160"/>
    </row>
    <row r="222" spans="2:29" x14ac:dyDescent="0.35">
      <c r="B222" s="162"/>
      <c r="C222" s="1" t="s">
        <v>223</v>
      </c>
      <c r="D222" s="136">
        <f>IFERROR(VLOOKUP(D$4,PICU!$BM$5:'PICU'!$BU$18,6,FALSE),"")</f>
        <v>9.2857142857142865</v>
      </c>
      <c r="E222" s="136">
        <f>IFERROR(VLOOKUP(E$4,PICU!$BM$5:'PICU'!$BU$18,6,FALSE),"")</f>
        <v>6.8571428571428568</v>
      </c>
      <c r="F222" s="136">
        <f>IFERROR(VLOOKUP(F$4,PICU!$BM$5:'PICU'!$BU$18,6,FALSE),"")</f>
        <v>5</v>
      </c>
      <c r="G222" s="136">
        <f>IFERROR(VLOOKUP(G$4,PICU!$BM$5:'PICU'!$BU$18,6,FALSE),"")</f>
        <v>6.5714285714285712</v>
      </c>
      <c r="H222" s="136">
        <f>IFERROR(VLOOKUP(H$4,PICU!$BM$5:'PICU'!$BU$18,6,FALSE),"")</f>
        <v>12</v>
      </c>
      <c r="I222" s="136">
        <f>IFERROR(VLOOKUP(I$4,PICU!$BM$5:'PICU'!$BU$18,6,FALSE),"")</f>
        <v>12.428571428571429</v>
      </c>
      <c r="J222" s="136">
        <f>IFERROR(VLOOKUP(J$4,PICU!$BM$5:'PICU'!$BU$18,6,FALSE),"")</f>
        <v>10</v>
      </c>
      <c r="K222" s="136">
        <f>IFERROR(VLOOKUP(K$4,PICU!$BM$5:'PICU'!$BU$18,6,FALSE),"")</f>
        <v>5.8571428571428568</v>
      </c>
      <c r="L222" s="136">
        <f>IFERROR(VLOOKUP(L$4,PICU!$BM$5:'PICU'!$BU$18,6,FALSE),"")</f>
        <v>7.1428571428571432</v>
      </c>
      <c r="M222" s="136">
        <f>IFERROR(VLOOKUP(M$4,PICU!$BM$5:'PICU'!$BU$18,6,FALSE),"")</f>
        <v>7.5714285714285712</v>
      </c>
      <c r="N222" s="136">
        <f>IFERROR(VLOOKUP(N$4,PICU!$BM$5:'PICU'!$BU$18,6,FALSE),"")</f>
        <v>9.1428571428571423</v>
      </c>
      <c r="O222" s="136">
        <f>IFERROR(VLOOKUP(O$4,PICU!$BM$5:'PICU'!$BU$18,6,FALSE),"")</f>
        <v>7.7142857142857144</v>
      </c>
      <c r="P222" s="136">
        <f>IFERROR(VLOOKUP(P$4,PICU!$BM$5:'PICU'!$BU$18,6,FALSE),"")</f>
        <v>6.8571428571428568</v>
      </c>
      <c r="Q222" s="96" t="str">
        <f>IFERROR(VLOOKUP(Q$4,PICU!$BM$5:'PICU'!$BT$19,6,FALSE),"")</f>
        <v/>
      </c>
      <c r="Z222" s="49"/>
      <c r="AA222" s="49"/>
      <c r="AB222" s="49"/>
      <c r="AC222" s="49"/>
    </row>
    <row r="223" spans="2:29" x14ac:dyDescent="0.35">
      <c r="B223" s="162"/>
      <c r="C223" s="11" t="s">
        <v>224</v>
      </c>
      <c r="D223" s="136">
        <f>IFERROR(VLOOKUP(D$4,PICU!$BM$5:'PICU'!$BU$18,7,FALSE),"")</f>
        <v>6.1428571428571432</v>
      </c>
      <c r="E223" s="136">
        <f>IFERROR(VLOOKUP(E$4,PICU!$BM$5:'PICU'!$BU$18,7,FALSE),"")</f>
        <v>7.8571428571428568</v>
      </c>
      <c r="F223" s="136">
        <f>IFERROR(VLOOKUP(F$4,PICU!$BM$5:'PICU'!$BU$18,7,FALSE),"")</f>
        <v>8</v>
      </c>
      <c r="G223" s="136">
        <f>IFERROR(VLOOKUP(G$4,PICU!$BM$5:'PICU'!$BU$18,7,FALSE),"")</f>
        <v>7.8571428571428568</v>
      </c>
      <c r="H223" s="136">
        <f>IFERROR(VLOOKUP(H$4,PICU!$BM$5:'PICU'!$BU$18,7,FALSE),"")</f>
        <v>7.7142857142857144</v>
      </c>
      <c r="I223" s="136">
        <f>IFERROR(VLOOKUP(I$4,PICU!$BM$5:'PICU'!$BU$18,7,FALSE),"")</f>
        <v>5.8571428571428568</v>
      </c>
      <c r="J223" s="136">
        <f>IFERROR(VLOOKUP(J$4,PICU!$BM$5:'PICU'!$BU$18,7,FALSE),"")</f>
        <v>4.5714285714285712</v>
      </c>
      <c r="K223" s="136">
        <f>IFERROR(VLOOKUP(K$4,PICU!$BM$5:'PICU'!$BU$18,7,FALSE),"")</f>
        <v>7.1428571428571432</v>
      </c>
      <c r="L223" s="136">
        <f>IFERROR(VLOOKUP(L$4,PICU!$BM$5:'PICU'!$BU$18,7,FALSE),"")</f>
        <v>8.4285714285714288</v>
      </c>
      <c r="M223" s="136">
        <f>IFERROR(VLOOKUP(M$4,PICU!$BM$5:'PICU'!$BU$18,7,FALSE),"")</f>
        <v>9.2857142857142865</v>
      </c>
      <c r="N223" s="136">
        <f>IFERROR(VLOOKUP(N$4,PICU!$BM$5:'PICU'!$BU$18,7,FALSE),"")</f>
        <v>5.5714285714285712</v>
      </c>
      <c r="O223" s="136">
        <f>IFERROR(VLOOKUP(O$4,PICU!$BM$5:'PICU'!$BU$18,7,FALSE),"")</f>
        <v>2.4285714285714284</v>
      </c>
      <c r="P223" s="136">
        <f>IFERROR(VLOOKUP(P$4,PICU!$BM$5:'PICU'!$BU$18,7,FALSE),"")</f>
        <v>2.4285714285714284</v>
      </c>
      <c r="Q223" s="96" t="str">
        <f>IFERROR(VLOOKUP(Q$4,PICU!$BM$5:'PICU'!$BT$19,7,FALSE),"")</f>
        <v/>
      </c>
      <c r="Z223" s="49"/>
      <c r="AA223" s="49"/>
      <c r="AB223" s="49"/>
      <c r="AC223" s="49"/>
    </row>
    <row r="224" spans="2:29" ht="30" customHeight="1" x14ac:dyDescent="0.35">
      <c r="C224" s="1"/>
    </row>
    <row r="225" spans="2:29" ht="15" customHeight="1" x14ac:dyDescent="0.35">
      <c r="B225" s="162" t="s">
        <v>19</v>
      </c>
      <c r="C225" s="142" t="s">
        <v>17</v>
      </c>
      <c r="D225" s="141">
        <v>0.69096181730304496</v>
      </c>
      <c r="E225" s="141">
        <v>0.68640308582449372</v>
      </c>
      <c r="F225" s="141">
        <v>0.70125482625482627</v>
      </c>
      <c r="G225" s="141">
        <v>0.67523772559673978</v>
      </c>
      <c r="H225" s="141">
        <v>0.67860967773342418</v>
      </c>
      <c r="I225" s="141">
        <v>0.7047045101088647</v>
      </c>
      <c r="J225" s="141">
        <v>0.70674656872221153</v>
      </c>
      <c r="K225" s="141">
        <v>0.69299999999999995</v>
      </c>
      <c r="L225" s="141">
        <v>0.69054028071524709</v>
      </c>
      <c r="M225" s="141">
        <v>0.68815229996134519</v>
      </c>
      <c r="N225" s="141">
        <v>0.68855932203389836</v>
      </c>
      <c r="O225" s="141">
        <v>0.68424101969872542</v>
      </c>
      <c r="P225" s="141">
        <v>0.67744738366480017</v>
      </c>
      <c r="Z225" s="163" t="s">
        <v>34</v>
      </c>
      <c r="AA225" s="163"/>
      <c r="AB225" s="163"/>
      <c r="AC225" s="163"/>
    </row>
    <row r="226" spans="2:29" x14ac:dyDescent="0.35">
      <c r="B226" s="162"/>
      <c r="C226" s="68" t="s">
        <v>252</v>
      </c>
      <c r="D226" s="127">
        <v>0.73157389635316694</v>
      </c>
      <c r="E226" s="127">
        <v>0.74428653735356254</v>
      </c>
      <c r="F226" s="127">
        <v>0.74739259401014257</v>
      </c>
      <c r="G226" s="127">
        <v>0.71139386928860615</v>
      </c>
      <c r="H226" s="127">
        <v>0.69080027029636071</v>
      </c>
      <c r="I226" s="127">
        <v>0.70377503852080125</v>
      </c>
      <c r="J226" s="127">
        <v>0.69971236816874405</v>
      </c>
      <c r="K226" s="127">
        <v>0.6976788981989791</v>
      </c>
      <c r="L226" s="127">
        <v>0.70355349555813051</v>
      </c>
      <c r="M226" s="127">
        <v>0.69191677054367628</v>
      </c>
      <c r="N226" s="127">
        <v>0.70221752903907075</v>
      </c>
      <c r="O226" s="127">
        <v>0.69187997315693606</v>
      </c>
      <c r="P226" s="127">
        <v>0.67915896038158274</v>
      </c>
      <c r="Z226" s="163"/>
      <c r="AA226" s="163"/>
      <c r="AB226" s="163"/>
      <c r="AC226" s="163"/>
    </row>
    <row r="227" spans="2:29" ht="9" customHeight="1" x14ac:dyDescent="0.35">
      <c r="B227" s="162"/>
      <c r="D227" s="30">
        <v>0.85</v>
      </c>
      <c r="E227" s="30">
        <v>0.85</v>
      </c>
      <c r="F227" s="30">
        <v>0.85</v>
      </c>
      <c r="G227" s="30">
        <v>0.85</v>
      </c>
      <c r="H227" s="30">
        <v>0.85</v>
      </c>
      <c r="I227" s="30">
        <v>0.85</v>
      </c>
      <c r="J227" s="30">
        <v>0.85</v>
      </c>
      <c r="K227" s="30">
        <v>0.85</v>
      </c>
      <c r="L227" s="30">
        <v>0.85</v>
      </c>
      <c r="M227" s="30">
        <v>0.85</v>
      </c>
      <c r="N227" s="30">
        <v>0.85</v>
      </c>
      <c r="O227" s="30">
        <v>0.85</v>
      </c>
      <c r="P227" s="30">
        <v>0.85</v>
      </c>
      <c r="Q227" s="30">
        <v>0.85</v>
      </c>
      <c r="Z227" s="163"/>
      <c r="AA227" s="163"/>
      <c r="AB227" s="163"/>
      <c r="AC227" s="163"/>
    </row>
    <row r="228" spans="2:29" x14ac:dyDescent="0.35">
      <c r="B228" s="162"/>
      <c r="C228" s="16" t="s">
        <v>294</v>
      </c>
      <c r="D228" s="63">
        <f>IFERROR(VLOOKUP(D$4,NICU!$AA$5:$AI$18,2,FALSE),"")</f>
        <v>0.61681567777476742</v>
      </c>
      <c r="E228" s="63">
        <f>IFERROR(VLOOKUP(E$4,NICU!$AA$5:$AI$18,2,FALSE),"")</f>
        <v>0.62331081081081086</v>
      </c>
      <c r="F228" s="63">
        <f>IFERROR(VLOOKUP(F$4,NICU!$AA$5:$AI$18,2,FALSE),"")</f>
        <v>0.65003141549232568</v>
      </c>
      <c r="G228" s="63">
        <f>IFERROR(VLOOKUP(G$4,NICU!$AA$5:$AI$18,2,FALSE),"")</f>
        <v>0.64797961412449945</v>
      </c>
      <c r="H228" s="63">
        <f>IFERROR(VLOOKUP(H$4,NICU!$AA$5:$AI$18,2,FALSE),"")</f>
        <v>0.64350370302642401</v>
      </c>
      <c r="I228" s="63">
        <f>IFERROR(VLOOKUP(I$4,NICU!$AA$5:$AI$18,2,FALSE),"")</f>
        <v>0.65659893831228267</v>
      </c>
      <c r="J228" s="63">
        <f>IFERROR(VLOOKUP(J$4,NICU!$AA$5:$AI$18,2,FALSE),"")</f>
        <v>0.65577660156962947</v>
      </c>
      <c r="K228" s="63">
        <f>IFERROR(VLOOKUP(K$4,NICU!$AA$5:$AI$18,2,FALSE),"")</f>
        <v>0.65172475745598279</v>
      </c>
      <c r="L228" s="63">
        <f>IFERROR(VLOOKUP(L$4,NICU!$AA$5:$AI$18,2,FALSE),"")</f>
        <v>0.64859563085153815</v>
      </c>
      <c r="M228" s="63">
        <f>IFERROR(VLOOKUP(M$4,NICU!$AA$5:$AI$18,2,FALSE),"")</f>
        <v>0.6371357053459682</v>
      </c>
      <c r="N228" s="63">
        <f>IFERROR(VLOOKUP(N$4,NICU!$AA$5:$AI$18,2,FALSE),"")</f>
        <v>0.63764768588433862</v>
      </c>
      <c r="O228" s="63">
        <f>IFERROR(VLOOKUP(O$4,NICU!$AA$5:$AI$18,2,FALSE),"")</f>
        <v>0.64123276846079547</v>
      </c>
      <c r="P228" s="63">
        <f>IFERROR(VLOOKUP(P$4,NICU!$AA$5:$AI$18,2,FALSE),"")</f>
        <v>0.6508063087010455</v>
      </c>
      <c r="Q228" s="94" t="str">
        <f>IFERROR(VLOOKUP(Q$4,NICU!$AA$5:$AH$19,2,FALSE),"")</f>
        <v/>
      </c>
      <c r="Z228" s="163"/>
      <c r="AA228" s="163"/>
      <c r="AB228" s="163"/>
      <c r="AC228" s="163"/>
    </row>
    <row r="229" spans="2:29" x14ac:dyDescent="0.35">
      <c r="B229" s="162"/>
      <c r="C229" s="1" t="s">
        <v>1</v>
      </c>
      <c r="D229" s="137">
        <f>IFERROR(VLOOKUP(D$4,NICU!$AA$5:$AI$18,3,FALSE),"")</f>
        <v>0.70068545316070063</v>
      </c>
      <c r="E229" s="137">
        <f>IFERROR(VLOOKUP(E$4,NICU!$AA$5:$AI$18,3,FALSE),"")</f>
        <v>0.69550173010380623</v>
      </c>
      <c r="F229" s="137">
        <f>IFERROR(VLOOKUP(F$4,NICU!$AA$5:$AI$18,3,FALSE),"")</f>
        <v>0.74960629921259847</v>
      </c>
      <c r="G229" s="137">
        <f>IFERROR(VLOOKUP(G$4,NICU!$AA$5:$AI$18,3,FALSE),"")</f>
        <v>0.740495867768595</v>
      </c>
      <c r="H229" s="137">
        <f>IFERROR(VLOOKUP(H$4,NICU!$AA$5:$AI$18,3,FALSE),"")</f>
        <v>0.76658374792703154</v>
      </c>
      <c r="I229" s="137">
        <f>IFERROR(VLOOKUP(I$4,NICU!$AA$5:$AI$18,3,FALSE),"")</f>
        <v>0.79667359667359672</v>
      </c>
      <c r="J229" s="137">
        <f>IFERROR(VLOOKUP(J$4,NICU!$AA$5:$AI$18,3,FALSE),"")</f>
        <v>0.78378378378378377</v>
      </c>
      <c r="K229" s="137">
        <f>IFERROR(VLOOKUP(K$4,NICU!$AA$5:$AI$18,3,FALSE),"")</f>
        <v>0.79587712206952299</v>
      </c>
      <c r="L229" s="137">
        <f>IFERROR(VLOOKUP(L$4,NICU!$AA$5:$AI$18,3,FALSE),"")</f>
        <v>0.79001996007984032</v>
      </c>
      <c r="M229" s="137">
        <f>IFERROR(VLOOKUP(M$4,NICU!$AA$5:$AI$18,3,FALSE),"")</f>
        <v>0.76754385964912286</v>
      </c>
      <c r="N229" s="137">
        <f>IFERROR(VLOOKUP(N$4,NICU!$AA$5:$AI$18,3,FALSE),"")</f>
        <v>0.77410468319559234</v>
      </c>
      <c r="O229" s="137">
        <f>IFERROR(VLOOKUP(O$4,NICU!$AA$5:$AI$18,3,FALSE),"")</f>
        <v>0.74903025601241269</v>
      </c>
      <c r="P229" s="137">
        <f>IFERROR(VLOOKUP(P$4,NICU!$AA$5:$AI$18,3,FALSE),"")</f>
        <v>0.76629570747217801</v>
      </c>
      <c r="Q229" s="69" t="str">
        <f>IFERROR(VLOOKUP(Q$4,NICU!$AA$5:$AH$19,3,FALSE),"")</f>
        <v/>
      </c>
      <c r="Z229" s="160" t="s">
        <v>431</v>
      </c>
      <c r="AA229" s="160"/>
      <c r="AB229" s="160"/>
      <c r="AC229" s="160"/>
    </row>
    <row r="230" spans="2:29" x14ac:dyDescent="0.35">
      <c r="B230" s="162"/>
      <c r="C230" s="1" t="s">
        <v>226</v>
      </c>
      <c r="D230" s="137">
        <f>IFERROR(VLOOKUP(D$4,NICU!$AA$5:$AI$18,4,FALSE),"")</f>
        <v>0.62124352331606214</v>
      </c>
      <c r="E230" s="137">
        <f>IFERROR(VLOOKUP(E$4,NICU!$AA$5:$AI$18,4,FALSE),"")</f>
        <v>0.66108374384236457</v>
      </c>
      <c r="F230" s="137">
        <f>IFERROR(VLOOKUP(F$4,NICU!$AA$5:$AI$18,4,FALSE),"")</f>
        <v>0.68503169185763046</v>
      </c>
      <c r="G230" s="137">
        <f>IFERROR(VLOOKUP(G$4,NICU!$AA$5:$AI$18,4,FALSE),"")</f>
        <v>0.66325036603221088</v>
      </c>
      <c r="H230" s="137">
        <f>IFERROR(VLOOKUP(H$4,NICU!$AA$5:$AI$18,4,FALSE),"")</f>
        <v>0.69431643625192008</v>
      </c>
      <c r="I230" s="137">
        <f>IFERROR(VLOOKUP(I$4,NICU!$AA$5:$AI$18,4,FALSE),"")</f>
        <v>0.67991739803820339</v>
      </c>
      <c r="J230" s="137">
        <f>IFERROR(VLOOKUP(J$4,NICU!$AA$5:$AI$18,4,FALSE),"")</f>
        <v>0.6985743380855397</v>
      </c>
      <c r="K230" s="137">
        <f>IFERROR(VLOOKUP(K$4,NICU!$AA$5:$AI$18,4,FALSE),"")</f>
        <v>0.67302985805188453</v>
      </c>
      <c r="L230" s="137">
        <f>IFERROR(VLOOKUP(L$4,NICU!$AA$5:$AI$18,4,FALSE),"")</f>
        <v>0.65691621219633123</v>
      </c>
      <c r="M230" s="137">
        <f>IFERROR(VLOOKUP(M$4,NICU!$AA$5:$AI$18,4,FALSE),"")</f>
        <v>0.65865865865865869</v>
      </c>
      <c r="N230" s="137">
        <f>IFERROR(VLOOKUP(N$4,NICU!$AA$5:$AI$18,4,FALSE),"")</f>
        <v>0.66716122650840748</v>
      </c>
      <c r="O230" s="137">
        <f>IFERROR(VLOOKUP(O$4,NICU!$AA$5:$AI$18,4,FALSE),"")</f>
        <v>0.62567368936795686</v>
      </c>
      <c r="P230" s="137">
        <f>IFERROR(VLOOKUP(P$4,NICU!$AA$5:$AI$18,4,FALSE),"")</f>
        <v>0.67802469135802468</v>
      </c>
      <c r="Q230" s="69" t="str">
        <f>IFERROR(VLOOKUP(Q$4,NICU!$AA$5:$AH$19,4,FALSE),"")</f>
        <v/>
      </c>
      <c r="Z230" s="160"/>
      <c r="AA230" s="160"/>
      <c r="AB230" s="160"/>
      <c r="AC230" s="160"/>
    </row>
    <row r="231" spans="2:29" x14ac:dyDescent="0.35">
      <c r="B231" s="162"/>
      <c r="C231" s="1" t="s">
        <v>253</v>
      </c>
      <c r="D231" s="137">
        <f>IFERROR(VLOOKUP(D$4,NICU!$AA$5:$AI$18,8,FALSE),"")</f>
        <v>0.54347826086956519</v>
      </c>
      <c r="E231" s="137">
        <f>IFERROR(VLOOKUP(E$4,NICU!$AA$5:$AI$18,8,FALSE),"")</f>
        <v>0.57410562180579217</v>
      </c>
      <c r="F231" s="137">
        <f>IFERROR(VLOOKUP(F$4,NICU!$AA$5:$AI$18,8,FALSE),"")</f>
        <v>0.57841483979763908</v>
      </c>
      <c r="G231" s="137">
        <f>IFERROR(VLOOKUP(G$4,NICU!$AA$5:$AI$18,8,FALSE),"")</f>
        <v>0.55433866891322658</v>
      </c>
      <c r="H231" s="137">
        <f>IFERROR(VLOOKUP(H$4,NICU!$AA$5:$AI$18,8,FALSE),"")</f>
        <v>0.54259718775847809</v>
      </c>
      <c r="I231" s="137">
        <f>IFERROR(VLOOKUP(I$4,NICU!$AA$5:$AI$18,8,FALSE),"")</f>
        <v>0.59367194004995838</v>
      </c>
      <c r="J231" s="137">
        <f>IFERROR(VLOOKUP(J$4,NICU!$AA$5:$AI$18,8,FALSE),"")</f>
        <v>0.56095481670929237</v>
      </c>
      <c r="K231" s="137">
        <f>IFERROR(VLOOKUP(K$4,NICU!$AA$5:$AI$18,8,FALSE),"")</f>
        <v>0.56075533661740562</v>
      </c>
      <c r="L231" s="137">
        <f>IFERROR(VLOOKUP(L$4,NICU!$AA$5:$AI$18,8,FALSE),"")</f>
        <v>0.56778309409888361</v>
      </c>
      <c r="M231" s="137">
        <f>IFERROR(VLOOKUP(M$4,NICU!$AA$5:$AI$18,8,FALSE),"")</f>
        <v>0.58139534883720934</v>
      </c>
      <c r="N231" s="137">
        <f>IFERROR(VLOOKUP(N$4,NICU!$AA$5:$AI$18,8,FALSE),"")</f>
        <v>0.54342629482071714</v>
      </c>
      <c r="O231" s="137">
        <f>IFERROR(VLOOKUP(O$4,NICU!$AA$5:$AI$18,8,FALSE),"")</f>
        <v>0.58692185007974484</v>
      </c>
      <c r="P231" s="137">
        <f>IFERROR(VLOOKUP(P$4,NICU!$AA$5:$AI$18,8,FALSE),"")</f>
        <v>0.54421221864951763</v>
      </c>
      <c r="Q231" s="69"/>
      <c r="Z231" s="160"/>
      <c r="AA231" s="160"/>
      <c r="AB231" s="160"/>
      <c r="AC231" s="160"/>
    </row>
    <row r="232" spans="2:29" x14ac:dyDescent="0.35">
      <c r="B232" s="162"/>
      <c r="C232" s="1" t="s">
        <v>254</v>
      </c>
      <c r="D232" s="137">
        <f>IFERROR(VLOOKUP(D$4,NICU!$AA$5:$AI$18,5,FALSE),"")</f>
        <v>0.6107784431137725</v>
      </c>
      <c r="E232" s="137">
        <f>IFERROR(VLOOKUP(E$4,NICU!$AA$5:$AI$18,5,FALSE),"")</f>
        <v>0.59914407988587737</v>
      </c>
      <c r="F232" s="137">
        <f>IFERROR(VLOOKUP(F$4,NICU!$AA$5:$AI$18,5,FALSE),"")</f>
        <v>0.60478607686729513</v>
      </c>
      <c r="G232" s="137">
        <f>IFERROR(VLOOKUP(G$4,NICU!$AA$5:$AI$18,5,FALSE),"")</f>
        <v>0.63121652639632742</v>
      </c>
      <c r="H232" s="137">
        <f>IFERROR(VLOOKUP(H$4,NICU!$AA$5:$AI$18,5,FALSE),"")</f>
        <v>0.59121370067014145</v>
      </c>
      <c r="I232" s="137">
        <f>IFERROR(VLOOKUP(I$4,NICU!$AA$5:$AI$18,5,FALSE),"")</f>
        <v>0.60059171597633132</v>
      </c>
      <c r="J232" s="137">
        <f>IFERROR(VLOOKUP(J$4,NICU!$AA$5:$AI$18,5,FALSE),"")</f>
        <v>0.56365030674846628</v>
      </c>
      <c r="K232" s="137">
        <f>IFERROR(VLOOKUP(K$4,NICU!$AA$5:$AI$18,5,FALSE),"")</f>
        <v>0.54406130268199238</v>
      </c>
      <c r="L232" s="137">
        <f>IFERROR(VLOOKUP(L$4,NICU!$AA$5:$AI$18,5,FALSE),"")</f>
        <v>0.54088522130532635</v>
      </c>
      <c r="M232" s="137">
        <f>IFERROR(VLOOKUP(M$4,NICU!$AA$5:$AI$18,5,FALSE),"")</f>
        <v>0.5184626978146194</v>
      </c>
      <c r="N232" s="137">
        <f>IFERROR(VLOOKUP(N$4,NICU!$AA$5:$AI$18,5,FALSE),"")</f>
        <v>0.48430493273542602</v>
      </c>
      <c r="O232" s="137">
        <f>IFERROR(VLOOKUP(O$4,NICU!$AA$5:$AI$18,5,FALSE),"")</f>
        <v>0.54115076474872537</v>
      </c>
      <c r="P232" s="137">
        <f>IFERROR(VLOOKUP(P$4,NICU!$AA$5:$AI$18,5,FALSE),"")</f>
        <v>0.56841339155749637</v>
      </c>
      <c r="Q232" s="69"/>
      <c r="Z232" s="160"/>
      <c r="AA232" s="160"/>
      <c r="AB232" s="160"/>
      <c r="AC232" s="160"/>
    </row>
    <row r="233" spans="2:29" x14ac:dyDescent="0.35">
      <c r="B233" s="162"/>
      <c r="C233" s="1" t="s">
        <v>256</v>
      </c>
      <c r="D233" s="137">
        <f>IFERROR(VLOOKUP(D$4,NICU!$AA$5:$AI$18,9,FALSE),"")</f>
        <v>0.54028021015761818</v>
      </c>
      <c r="E233" s="137">
        <f>IFERROR(VLOOKUP(E$4,NICU!$AA$5:$AI$18,9,FALSE),"")</f>
        <v>0.5875850340136054</v>
      </c>
      <c r="F233" s="137">
        <f>IFERROR(VLOOKUP(F$4,NICU!$AA$5:$AI$18,9,FALSE),"")</f>
        <v>0.58743633276740237</v>
      </c>
      <c r="G233" s="137">
        <f>IFERROR(VLOOKUP(G$4,NICU!$AA$5:$AI$18,9,FALSE),"")</f>
        <v>0.61980033277870217</v>
      </c>
      <c r="H233" s="137">
        <f>IFERROR(VLOOKUP(H$4,NICU!$AA$5:$AI$18,9,FALSE),"")</f>
        <v>0.56952539550374692</v>
      </c>
      <c r="I233" s="137">
        <f>IFERROR(VLOOKUP(I$4,NICU!$AA$5:$AI$18,9,FALSE),"")</f>
        <v>0.54280964256026598</v>
      </c>
      <c r="J233" s="137">
        <f>IFERROR(VLOOKUP(J$4,NICU!$AA$5:$AI$18,9,FALSE),"")</f>
        <v>0.60977630488815249</v>
      </c>
      <c r="K233" s="137">
        <f>IFERROR(VLOOKUP(K$4,NICU!$AA$5:$AI$18,9,FALSE),"")</f>
        <v>0.59698996655518399</v>
      </c>
      <c r="L233" s="137">
        <f>IFERROR(VLOOKUP(L$4,NICU!$AA$5:$AI$18,9,FALSE),"")</f>
        <v>0.59917012448132778</v>
      </c>
      <c r="M233" s="137">
        <f>IFERROR(VLOOKUP(M$4,NICU!$AA$5:$AI$18,9,FALSE),"")</f>
        <v>0.60049833887043191</v>
      </c>
      <c r="N233" s="137">
        <f>IFERROR(VLOOKUP(N$4,NICU!$AA$5:$AI$18,9,FALSE),"")</f>
        <v>0.64297520661157026</v>
      </c>
      <c r="O233" s="137">
        <f>IFERROR(VLOOKUP(O$4,NICU!$AA$5:$AI$18,9,FALSE),"")</f>
        <v>0.66115702479338845</v>
      </c>
      <c r="P233" s="137">
        <f>IFERROR(VLOOKUP(P$4,NICU!$AA$5:$AI$18,9,FALSE),"")</f>
        <v>0.65863787375415284</v>
      </c>
      <c r="Q233" s="69" t="str">
        <f>IFERROR(VLOOKUP(Q$4,NICU!$AA$5:$AH$19,5,FALSE),"")</f>
        <v/>
      </c>
      <c r="Z233" s="160"/>
      <c r="AA233" s="160"/>
      <c r="AB233" s="160"/>
      <c r="AC233" s="160"/>
    </row>
    <row r="234" spans="2:29" x14ac:dyDescent="0.35">
      <c r="B234" s="162"/>
      <c r="C234" s="1" t="s">
        <v>223</v>
      </c>
      <c r="D234" s="137">
        <f>IFERROR(VLOOKUP(D$4,NICU!$AA$5:$AI$18,6,FALSE),"")</f>
        <v>0.58655462184873952</v>
      </c>
      <c r="E234" s="137">
        <f>IFERROR(VLOOKUP(E$4,NICU!$AA$5:$AI$18,6,FALSE),"")</f>
        <v>0.55663062037564026</v>
      </c>
      <c r="F234" s="137">
        <f>IFERROR(VLOOKUP(F$4,NICU!$AA$5:$AI$18,6,FALSE),"")</f>
        <v>0.57432041642567955</v>
      </c>
      <c r="G234" s="137">
        <f>IFERROR(VLOOKUP(G$4,NICU!$AA$5:$AI$18,6,FALSE),"")</f>
        <v>0.62321326472269867</v>
      </c>
      <c r="H234" s="137">
        <f>IFERROR(VLOOKUP(H$4,NICU!$AA$5:$AI$18,6,FALSE),"")</f>
        <v>0.59678345778288344</v>
      </c>
      <c r="I234" s="137">
        <f>IFERROR(VLOOKUP(I$4,NICU!$AA$5:$AI$18,6,FALSE),"")</f>
        <v>0.59942857142857142</v>
      </c>
      <c r="J234" s="137">
        <f>IFERROR(VLOOKUP(J$4,NICU!$AA$5:$AI$18,6,FALSE),"")</f>
        <v>0.57597765363128495</v>
      </c>
      <c r="K234" s="137">
        <f>IFERROR(VLOOKUP(K$4,NICU!$AA$5:$AI$18,6,FALSE),"")</f>
        <v>0.57755775577557755</v>
      </c>
      <c r="L234" s="137">
        <f>IFERROR(VLOOKUP(L$4,NICU!$AA$5:$AI$18,6,FALSE),"")</f>
        <v>0.59462424574876582</v>
      </c>
      <c r="M234" s="137">
        <f>IFERROR(VLOOKUP(M$4,NICU!$AA$5:$AI$18,6,FALSE),"")</f>
        <v>0.57675438596491224</v>
      </c>
      <c r="N234" s="137">
        <f>IFERROR(VLOOKUP(N$4,NICU!$AA$5:$AI$18,6,FALSE),"")</f>
        <v>0.57694429123000557</v>
      </c>
      <c r="O234" s="137">
        <f>IFERROR(VLOOKUP(O$4,NICU!$AA$5:$AI$18,6,FALSE),"")</f>
        <v>0.56549865229110508</v>
      </c>
      <c r="P234" s="137">
        <f>IFERROR(VLOOKUP(P$4,NICU!$AA$5:$AI$18,6,FALSE),"")</f>
        <v>0.54663774403470711</v>
      </c>
      <c r="Q234" s="69" t="str">
        <f>IFERROR(VLOOKUP(Q$4,NICU!$AA$5:$AH$19,6,FALSE),"")</f>
        <v/>
      </c>
      <c r="Z234" s="160"/>
      <c r="AA234" s="160"/>
      <c r="AB234" s="160"/>
      <c r="AC234" s="160"/>
    </row>
    <row r="235" spans="2:29" ht="15" customHeight="1" x14ac:dyDescent="0.35">
      <c r="B235" s="162"/>
      <c r="C235" s="11" t="s">
        <v>224</v>
      </c>
      <c r="D235" s="137">
        <f>IFERROR(VLOOKUP(D$4,NICU!$AA$5:$AI$18,7,FALSE),"")</f>
        <v>0.62137681159420288</v>
      </c>
      <c r="E235" s="137">
        <f>IFERROR(VLOOKUP(E$4,NICU!$AA$5:$AI$18,7,FALSE),"")</f>
        <v>0.61101083032490977</v>
      </c>
      <c r="F235" s="137">
        <f>IFERROR(VLOOKUP(F$4,NICU!$AA$5:$AI$18,7,FALSE),"")</f>
        <v>0.67532467532467533</v>
      </c>
      <c r="G235" s="137">
        <f>IFERROR(VLOOKUP(G$4,NICU!$AA$5:$AI$18,7,FALSE),"")</f>
        <v>0.6061452513966481</v>
      </c>
      <c r="H235" s="137">
        <f>IFERROR(VLOOKUP(H$4,NICU!$AA$5:$AI$18,7,FALSE),"")</f>
        <v>0.61224489795918369</v>
      </c>
      <c r="I235" s="137">
        <f>IFERROR(VLOOKUP(I$4,NICU!$AA$5:$AI$18,7,FALSE),"")</f>
        <v>0.66233766233766234</v>
      </c>
      <c r="J235" s="137">
        <f>IFERROR(VLOOKUP(J$4,NICU!$AA$5:$AI$18,7,FALSE),"")</f>
        <v>0.686456400742115</v>
      </c>
      <c r="K235" s="137">
        <f>IFERROR(VLOOKUP(K$4,NICU!$AA$5:$AI$18,7,FALSE),"")</f>
        <v>0.69944341372912799</v>
      </c>
      <c r="L235" s="137">
        <f>IFERROR(VLOOKUP(L$4,NICU!$AA$5:$AI$18,7,FALSE),"")</f>
        <v>0.67810760667903525</v>
      </c>
      <c r="M235" s="137">
        <f>IFERROR(VLOOKUP(M$4,NICU!$AA$5:$AI$18,7,FALSE),"")</f>
        <v>0.64749536178107603</v>
      </c>
      <c r="N235" s="137">
        <f>IFERROR(VLOOKUP(N$4,NICU!$AA$5:$AI$18,7,FALSE),"")</f>
        <v>0.6567717996289425</v>
      </c>
      <c r="O235" s="137">
        <f>IFERROR(VLOOKUP(O$4,NICU!$AA$5:$AI$18,7,FALSE),"")</f>
        <v>0.71150278293135438</v>
      </c>
      <c r="P235" s="137">
        <f>IFERROR(VLOOKUP(P$4,NICU!$AA$5:$AI$18,7,FALSE),"")</f>
        <v>0.72752548656163119</v>
      </c>
      <c r="Q235" s="69" t="str">
        <f>IFERROR(VLOOKUP(Q$4,NICU!$AA$5:$AH$19,7,FALSE),"")</f>
        <v/>
      </c>
      <c r="Z235" s="160"/>
      <c r="AA235" s="160"/>
      <c r="AB235" s="160"/>
      <c r="AC235" s="160"/>
    </row>
    <row r="236" spans="2:29" ht="7.5" customHeight="1" x14ac:dyDescent="0.35">
      <c r="B236" s="162"/>
      <c r="C236" s="11"/>
      <c r="D236" s="69"/>
      <c r="E236" s="69"/>
      <c r="F236" s="69"/>
      <c r="G236" s="69"/>
      <c r="H236" s="69"/>
      <c r="I236" s="69"/>
      <c r="J236" s="69"/>
      <c r="K236" s="69"/>
      <c r="L236" s="69"/>
      <c r="M236" s="69"/>
      <c r="N236" s="69"/>
      <c r="O236" s="69"/>
      <c r="P236" s="69"/>
      <c r="Q236" s="69"/>
      <c r="Z236" s="160"/>
      <c r="AA236" s="160"/>
      <c r="AB236" s="160"/>
      <c r="AC236" s="160"/>
    </row>
    <row r="237" spans="2:29" x14ac:dyDescent="0.35">
      <c r="B237" s="162"/>
      <c r="C237" s="12" t="s">
        <v>18</v>
      </c>
      <c r="D237" s="131">
        <v>456.71428571428572</v>
      </c>
      <c r="E237" s="131">
        <v>464.57142857142856</v>
      </c>
      <c r="F237" s="131">
        <v>442.14285714285717</v>
      </c>
      <c r="G237" s="131">
        <v>478.14285714285717</v>
      </c>
      <c r="H237" s="131">
        <v>471.57142857142856</v>
      </c>
      <c r="I237" s="131">
        <v>434</v>
      </c>
      <c r="J237" s="131">
        <v>433.42857142857144</v>
      </c>
      <c r="K237" s="131">
        <v>453</v>
      </c>
      <c r="L237" s="131">
        <v>459.85714285714283</v>
      </c>
      <c r="M237" s="131">
        <v>461</v>
      </c>
      <c r="N237" s="131">
        <v>462</v>
      </c>
      <c r="O237" s="131">
        <v>467.14285714285717</v>
      </c>
      <c r="P237" s="131">
        <v>477.28571428571428</v>
      </c>
      <c r="Z237" s="160"/>
      <c r="AA237" s="160"/>
      <c r="AB237" s="160"/>
      <c r="AC237" s="160"/>
    </row>
    <row r="238" spans="2:29" x14ac:dyDescent="0.35">
      <c r="B238" s="162"/>
      <c r="C238" s="11" t="s">
        <v>252</v>
      </c>
      <c r="D238" s="132">
        <v>399.57142857142856</v>
      </c>
      <c r="E238" s="132">
        <v>380.42857142857144</v>
      </c>
      <c r="F238" s="132">
        <v>377.14285714285717</v>
      </c>
      <c r="G238" s="132">
        <v>427.71428571428572</v>
      </c>
      <c r="H238" s="132">
        <v>457.57142857142856</v>
      </c>
      <c r="I238" s="132">
        <v>439.42857142857144</v>
      </c>
      <c r="J238" s="132">
        <v>447.42857142857144</v>
      </c>
      <c r="K238" s="132">
        <v>448.42857142857144</v>
      </c>
      <c r="L238" s="132">
        <v>438.57142857142856</v>
      </c>
      <c r="M238" s="132">
        <v>459</v>
      </c>
      <c r="N238" s="132">
        <v>443.14285714285717</v>
      </c>
      <c r="O238" s="132">
        <v>459.14285714285717</v>
      </c>
      <c r="P238" s="132">
        <v>470.85714285714283</v>
      </c>
      <c r="Z238" s="160"/>
      <c r="AA238" s="160"/>
      <c r="AB238" s="160"/>
      <c r="AC238" s="160"/>
    </row>
    <row r="239" spans="2:29" ht="7.5" customHeight="1" x14ac:dyDescent="0.35">
      <c r="B239" s="162"/>
      <c r="C239" s="1"/>
      <c r="Z239" s="160"/>
      <c r="AA239" s="160"/>
      <c r="AB239" s="160"/>
      <c r="AC239" s="160"/>
    </row>
    <row r="240" spans="2:29" x14ac:dyDescent="0.35">
      <c r="B240" s="162"/>
      <c r="C240" s="16" t="s">
        <v>294</v>
      </c>
      <c r="D240" s="62">
        <f>IFERROR(VLOOKUP(D$4,NICU!$BL$5:$BT$18,2,FALSE),"")</f>
        <v>606.14285714285711</v>
      </c>
      <c r="E240" s="62">
        <f>IFERROR(VLOOKUP(E$4,NICU!$BL$5:$BT$18,2,FALSE),"")</f>
        <v>605.28571428571433</v>
      </c>
      <c r="F240" s="62">
        <f>IFERROR(VLOOKUP(F$4,NICU!$BL$5:$BT$18,2,FALSE),"")</f>
        <v>557</v>
      </c>
      <c r="G240" s="62">
        <f>IFERROR(VLOOKUP(G$4,NICU!$BL$5:$BT$18,2,FALSE),"")</f>
        <v>552.57142857142856</v>
      </c>
      <c r="H240" s="62">
        <f>IFERROR(VLOOKUP(H$4,NICU!$BL$5:$BT$18,2,FALSE),"")</f>
        <v>557</v>
      </c>
      <c r="I240" s="62">
        <f>IFERROR(VLOOKUP(I$4,NICU!$BL$5:$BT$18,2,FALSE),"")</f>
        <v>536</v>
      </c>
      <c r="J240" s="62">
        <f>IFERROR(VLOOKUP(J$4,NICU!$BL$5:$BT$18,2,FALSE),"")</f>
        <v>538.85714285714289</v>
      </c>
      <c r="K240" s="62">
        <f>IFERROR(VLOOKUP(K$4,NICU!$BL$5:$BT$18,2,FALSE),"")</f>
        <v>553.85714285714289</v>
      </c>
      <c r="L240" s="62">
        <f>IFERROR(VLOOKUP(L$4,NICU!$BL$5:$BT$18,2,FALSE),"")</f>
        <v>563</v>
      </c>
      <c r="M240" s="62">
        <f>IFERROR(VLOOKUP(M$4,NICU!$BL$5:$BT$18,2,FALSE),"")</f>
        <v>579.85714285714289</v>
      </c>
      <c r="N240" s="62">
        <f>IFERROR(VLOOKUP(N$4,NICU!$BL$5:$BT$18,2,FALSE),"")</f>
        <v>582.71428571428567</v>
      </c>
      <c r="O240" s="62">
        <f>IFERROR(VLOOKUP(O$4,NICU!$BL$5:$BT$18,2,FALSE),"")</f>
        <v>583.71428571428567</v>
      </c>
      <c r="P240" s="62">
        <f>IFERROR(VLOOKUP(P$4,NICU!$BL$5:$BT$18,2,FALSE),"")</f>
        <v>563</v>
      </c>
      <c r="Q240" s="95" t="str">
        <f>IFERROR(VLOOKUP(Q$4,NICU!$BL$5:$BS$19,2,FALSE),"")</f>
        <v/>
      </c>
      <c r="S240" s="3"/>
      <c r="Z240" s="160"/>
      <c r="AA240" s="160"/>
      <c r="AB240" s="160"/>
      <c r="AC240" s="160"/>
    </row>
    <row r="241" spans="2:29" x14ac:dyDescent="0.35">
      <c r="B241" s="162"/>
      <c r="C241" s="1" t="s">
        <v>1</v>
      </c>
      <c r="D241" s="136">
        <f>IFERROR(VLOOKUP(D$4,NICU!$BL$5:$BT$18,3,FALSE),"")</f>
        <v>112.28571428571429</v>
      </c>
      <c r="E241" s="136">
        <f>IFERROR(VLOOKUP(E$4,NICU!$BL$5:$BT$18,3,FALSE),"")</f>
        <v>113.14285714285714</v>
      </c>
      <c r="F241" s="136">
        <f>IFERROR(VLOOKUP(F$4,NICU!$BL$5:$BT$18,3,FALSE),"")</f>
        <v>90.857142857142861</v>
      </c>
      <c r="G241" s="136">
        <f>IFERROR(VLOOKUP(G$4,NICU!$BL$5:$BT$18,3,FALSE),"")</f>
        <v>89.714285714285708</v>
      </c>
      <c r="H241" s="136">
        <f>IFERROR(VLOOKUP(H$4,NICU!$BL$5:$BT$18,3,FALSE),"")</f>
        <v>80.428571428571431</v>
      </c>
      <c r="I241" s="136">
        <f>IFERROR(VLOOKUP(I$4,NICU!$BL$5:$BT$18,3,FALSE),"")</f>
        <v>69.857142857142861</v>
      </c>
      <c r="J241" s="136">
        <f>IFERROR(VLOOKUP(J$4,NICU!$BL$5:$BT$18,3,FALSE),"")</f>
        <v>75.428571428571431</v>
      </c>
      <c r="K241" s="136">
        <f>IFERROR(VLOOKUP(K$4,NICU!$BL$5:$BT$18,3,FALSE),"")</f>
        <v>72.142857142857139</v>
      </c>
      <c r="L241" s="136">
        <f>IFERROR(VLOOKUP(L$4,NICU!$BL$5:$BT$18,3,FALSE),"")</f>
        <v>75.142857142857139</v>
      </c>
      <c r="M241" s="136">
        <f>IFERROR(VLOOKUP(M$4,NICU!$BL$5:$BT$18,3,FALSE),"")</f>
        <v>83.285714285714292</v>
      </c>
      <c r="N241" s="136">
        <f>IFERROR(VLOOKUP(N$4,NICU!$BL$5:$BT$18,3,FALSE),"")</f>
        <v>82</v>
      </c>
      <c r="O241" s="136">
        <f>IFERROR(VLOOKUP(O$4,NICU!$BL$5:$BT$18,3,FALSE),"")</f>
        <v>92.428571428571431</v>
      </c>
      <c r="P241" s="136">
        <f>IFERROR(VLOOKUP(P$4,NICU!$BL$5:$BT$18,3,FALSE),"")</f>
        <v>84</v>
      </c>
      <c r="Q241" s="96" t="str">
        <f>IFERROR(VLOOKUP(Q$4,NICU!$BL$5:$BS$19,3,FALSE),"")</f>
        <v/>
      </c>
      <c r="Z241" s="160"/>
      <c r="AA241" s="160"/>
      <c r="AB241" s="160"/>
      <c r="AC241" s="160"/>
    </row>
    <row r="242" spans="2:29" x14ac:dyDescent="0.35">
      <c r="B242" s="162"/>
      <c r="C242" s="1" t="s">
        <v>226</v>
      </c>
      <c r="D242" s="136">
        <f>IFERROR(VLOOKUP(D$4,NICU!$BL$5:$BT$18,4,FALSE),"")</f>
        <v>104.42857142857143</v>
      </c>
      <c r="E242" s="136">
        <f>IFERROR(VLOOKUP(E$4,NICU!$BL$5:$BT$18,4,FALSE),"")</f>
        <v>98.285714285714292</v>
      </c>
      <c r="F242" s="136">
        <f>IFERROR(VLOOKUP(F$4,NICU!$BL$5:$BT$18,4,FALSE),"")</f>
        <v>92.285714285714292</v>
      </c>
      <c r="G242" s="136">
        <f>IFERROR(VLOOKUP(G$4,NICU!$BL$5:$BT$18,4,FALSE),"")</f>
        <v>98.571428571428569</v>
      </c>
      <c r="H242" s="136">
        <f>IFERROR(VLOOKUP(H$4,NICU!$BL$5:$BT$18,4,FALSE),"")</f>
        <v>85.285714285714292</v>
      </c>
      <c r="I242" s="136">
        <f>IFERROR(VLOOKUP(I$4,NICU!$BL$5:$BT$18,4,FALSE),"")</f>
        <v>88.571428571428569</v>
      </c>
      <c r="J242" s="136">
        <f>IFERROR(VLOOKUP(J$4,NICU!$BL$5:$BT$18,4,FALSE),"")</f>
        <v>84.571428571428569</v>
      </c>
      <c r="K242" s="136">
        <f>IFERROR(VLOOKUP(K$4,NICU!$BL$5:$BT$18,4,FALSE),"")</f>
        <v>95.428571428571431</v>
      </c>
      <c r="L242" s="136">
        <f>IFERROR(VLOOKUP(L$4,NICU!$BL$5:$BT$18,4,FALSE),"")</f>
        <v>98.857142857142861</v>
      </c>
      <c r="M242" s="136">
        <f>IFERROR(VLOOKUP(M$4,NICU!$BL$5:$BT$18,4,FALSE),"")</f>
        <v>97.428571428571431</v>
      </c>
      <c r="N242" s="136">
        <f>IFERROR(VLOOKUP(N$4,NICU!$BL$5:$BT$18,4,FALSE),"")</f>
        <v>96.142857142857139</v>
      </c>
      <c r="O242" s="136">
        <f>IFERROR(VLOOKUP(O$4,NICU!$BL$5:$BT$18,4,FALSE),"")</f>
        <v>109.14285714285714</v>
      </c>
      <c r="P242" s="136">
        <f>IFERROR(VLOOKUP(P$4,NICU!$BL$5:$BT$18,4,FALSE),"")</f>
        <v>93.142857142857139</v>
      </c>
      <c r="Q242" s="96" t="str">
        <f>IFERROR(VLOOKUP(Q$4,NICU!$BL$5:$BS$19,4,FALSE),"")</f>
        <v/>
      </c>
      <c r="Z242" s="160"/>
      <c r="AA242" s="160"/>
      <c r="AB242" s="160"/>
      <c r="AC242" s="160"/>
    </row>
    <row r="243" spans="2:29" x14ac:dyDescent="0.35">
      <c r="B243" s="162"/>
      <c r="C243" s="1" t="s">
        <v>253</v>
      </c>
      <c r="D243" s="136">
        <f>IFERROR(VLOOKUP(D$4,NICU!$BL$5:$BT$18,8,FALSE),"")</f>
        <v>75</v>
      </c>
      <c r="E243" s="136">
        <f>IFERROR(VLOOKUP(E$4,NICU!$BL$5:$BT$18,8,FALSE),"")</f>
        <v>71.428571428571431</v>
      </c>
      <c r="F243" s="136">
        <f>IFERROR(VLOOKUP(F$4,NICU!$BL$5:$BT$18,8,FALSE),"")</f>
        <v>71.428571428571431</v>
      </c>
      <c r="G243" s="136">
        <f>IFERROR(VLOOKUP(G$4,NICU!$BL$5:$BT$18,8,FALSE),"")</f>
        <v>75.571428571428569</v>
      </c>
      <c r="H243" s="136">
        <f>IFERROR(VLOOKUP(H$4,NICU!$BL$5:$BT$18,8,FALSE),"")</f>
        <v>79</v>
      </c>
      <c r="I243" s="136">
        <f>IFERROR(VLOOKUP(I$4,NICU!$BL$5:$BT$18,8,FALSE),"")</f>
        <v>69.714285714285708</v>
      </c>
      <c r="J243" s="136">
        <f>IFERROR(VLOOKUP(J$4,NICU!$BL$5:$BT$18,8,FALSE),"")</f>
        <v>73.571428571428569</v>
      </c>
      <c r="K243" s="136">
        <f>IFERROR(VLOOKUP(K$4,NICU!$BL$5:$BT$18,8,FALSE),"")</f>
        <v>76.428571428571431</v>
      </c>
      <c r="L243" s="136">
        <f>IFERROR(VLOOKUP(L$4,NICU!$BL$5:$BT$18,8,FALSE),"")</f>
        <v>77.428571428571431</v>
      </c>
      <c r="M243" s="136">
        <f>IFERROR(VLOOKUP(M$4,NICU!$BL$5:$BT$18,8,FALSE),"")</f>
        <v>74.571428571428569</v>
      </c>
      <c r="N243" s="136">
        <f>IFERROR(VLOOKUP(N$4,NICU!$BL$5:$BT$18,8,FALSE),"")</f>
        <v>81.857142857142861</v>
      </c>
      <c r="O243" s="136">
        <f>IFERROR(VLOOKUP(O$4,NICU!$BL$5:$BT$18,8,FALSE),"")</f>
        <v>74</v>
      </c>
      <c r="P243" s="136">
        <f>IFERROR(VLOOKUP(P$4,NICU!$BL$5:$BT$18,8,FALSE),"")</f>
        <v>81</v>
      </c>
      <c r="Q243" s="96"/>
      <c r="Z243" s="160"/>
      <c r="AA243" s="160"/>
      <c r="AB243" s="160"/>
      <c r="AC243" s="160"/>
    </row>
    <row r="244" spans="2:29" x14ac:dyDescent="0.35">
      <c r="B244" s="162"/>
      <c r="C244" s="1" t="s">
        <v>254</v>
      </c>
      <c r="D244" s="136">
        <f>IFERROR(VLOOKUP(D$4,NICU!$BL$5:$BT$18,5,FALSE),"")</f>
        <v>74.285714285714292</v>
      </c>
      <c r="E244" s="136">
        <f>IFERROR(VLOOKUP(E$4,NICU!$BL$5:$BT$18,5,FALSE),"")</f>
        <v>80.285714285714292</v>
      </c>
      <c r="F244" s="136">
        <f>IFERROR(VLOOKUP(F$4,NICU!$BL$5:$BT$18,5,FALSE),"")</f>
        <v>77.857142857142861</v>
      </c>
      <c r="G244" s="136">
        <f>IFERROR(VLOOKUP(G$4,NICU!$BL$5:$BT$18,5,FALSE),"")</f>
        <v>68.857142857142861</v>
      </c>
      <c r="H244" s="136">
        <f>IFERROR(VLOOKUP(H$4,NICU!$BL$5:$BT$18,5,FALSE),"")</f>
        <v>78.428571428571431</v>
      </c>
      <c r="I244" s="136">
        <f>IFERROR(VLOOKUP(I$4,NICU!$BL$5:$BT$18,5,FALSE),"")</f>
        <v>77.142857142857139</v>
      </c>
      <c r="J244" s="136">
        <f>IFERROR(VLOOKUP(J$4,NICU!$BL$5:$BT$18,5,FALSE),"")</f>
        <v>81.285714285714292</v>
      </c>
      <c r="K244" s="136">
        <f>IFERROR(VLOOKUP(K$4,NICU!$BL$5:$BT$18,5,FALSE),"")</f>
        <v>85</v>
      </c>
      <c r="L244" s="136">
        <f>IFERROR(VLOOKUP(L$4,NICU!$BL$5:$BT$18,5,FALSE),"")</f>
        <v>87.428571428571431</v>
      </c>
      <c r="M244" s="136">
        <f>IFERROR(VLOOKUP(M$4,NICU!$BL$5:$BT$18,5,FALSE),"")</f>
        <v>91.285714285714292</v>
      </c>
      <c r="N244" s="136">
        <f>IFERROR(VLOOKUP(N$4,NICU!$BL$5:$BT$18,5,FALSE),"")</f>
        <v>98.571428571428569</v>
      </c>
      <c r="O244" s="136">
        <f>IFERROR(VLOOKUP(O$4,NICU!$BL$5:$BT$18,5,FALSE),"")</f>
        <v>90</v>
      </c>
      <c r="P244" s="136">
        <f>IFERROR(VLOOKUP(P$4,NICU!$BL$5:$BT$18,5,FALSE),"")</f>
        <v>84.714285714285708</v>
      </c>
      <c r="Q244" s="96"/>
      <c r="Z244" s="160"/>
      <c r="AA244" s="160"/>
      <c r="AB244" s="160"/>
      <c r="AC244" s="160"/>
    </row>
    <row r="245" spans="2:29" x14ac:dyDescent="0.35">
      <c r="B245" s="162"/>
      <c r="C245" s="1" t="s">
        <v>256</v>
      </c>
      <c r="D245" s="136">
        <f>IFERROR(VLOOKUP(D$4,NICU!$BL$5:$BT$18,9,FALSE),"")</f>
        <v>75</v>
      </c>
      <c r="E245" s="136">
        <f>IFERROR(VLOOKUP(E$4,NICU!$BL$5:$BT$18,9,FALSE),"")</f>
        <v>69.285714285714292</v>
      </c>
      <c r="F245" s="136">
        <f>IFERROR(VLOOKUP(F$4,NICU!$BL$5:$BT$18,9,FALSE),"")</f>
        <v>69.428571428571431</v>
      </c>
      <c r="G245" s="136">
        <f>IFERROR(VLOOKUP(G$4,NICU!$BL$5:$BT$18,9,FALSE),"")</f>
        <v>65.285714285714292</v>
      </c>
      <c r="H245" s="136">
        <f>IFERROR(VLOOKUP(H$4,NICU!$BL$5:$BT$18,9,FALSE),"")</f>
        <v>73.857142857142861</v>
      </c>
      <c r="I245" s="136">
        <f>IFERROR(VLOOKUP(I$4,NICU!$BL$5:$BT$18,9,FALSE),"")</f>
        <v>78.571428571428569</v>
      </c>
      <c r="J245" s="136">
        <f>IFERROR(VLOOKUP(J$4,NICU!$BL$5:$BT$18,9,FALSE),"")</f>
        <v>67.285714285714292</v>
      </c>
      <c r="K245" s="136">
        <f>IFERROR(VLOOKUP(K$4,NICU!$BL$5:$BT$18,9,FALSE),"")</f>
        <v>68.857142857142861</v>
      </c>
      <c r="L245" s="136">
        <f>IFERROR(VLOOKUP(L$4,NICU!$BL$5:$BT$18,9,FALSE),"")</f>
        <v>69</v>
      </c>
      <c r="M245" s="136">
        <f>IFERROR(VLOOKUP(M$4,NICU!$BL$5:$BT$18,9,FALSE),"")</f>
        <v>68.714285714285708</v>
      </c>
      <c r="N245" s="136">
        <f>IFERROR(VLOOKUP(N$4,NICU!$BL$5:$BT$18,9,FALSE),"")</f>
        <v>61.714285714285715</v>
      </c>
      <c r="O245" s="136">
        <f>IFERROR(VLOOKUP(O$4,NICU!$BL$5:$BT$18,9,FALSE),"")</f>
        <v>58.571428571428569</v>
      </c>
      <c r="P245" s="136">
        <f>IFERROR(VLOOKUP(P$4,NICU!$BL$5:$BT$18,9,FALSE),"")</f>
        <v>58.714285714285715</v>
      </c>
      <c r="Q245" s="96" t="str">
        <f>IFERROR(VLOOKUP(Q$4,NICU!$BL$5:$BS$19,5,FALSE),"")</f>
        <v/>
      </c>
      <c r="Z245" s="160"/>
      <c r="AA245" s="160"/>
      <c r="AB245" s="160"/>
      <c r="AC245" s="160"/>
    </row>
    <row r="246" spans="2:29" x14ac:dyDescent="0.35">
      <c r="B246" s="162"/>
      <c r="C246" s="1" t="s">
        <v>223</v>
      </c>
      <c r="D246" s="136">
        <f>IFERROR(VLOOKUP(D$4,NICU!$BL$5:$BT$18,6,FALSE),"")</f>
        <v>105.42857142857143</v>
      </c>
      <c r="E246" s="136">
        <f>IFERROR(VLOOKUP(E$4,NICU!$BL$5:$BT$18,6,FALSE),"")</f>
        <v>111.28571428571429</v>
      </c>
      <c r="F246" s="136">
        <f>IFERROR(VLOOKUP(F$4,NICU!$BL$5:$BT$18,6,FALSE),"")</f>
        <v>105.14285714285714</v>
      </c>
      <c r="G246" s="136">
        <f>IFERROR(VLOOKUP(G$4,NICU!$BL$5:$BT$18,6,FALSE),"")</f>
        <v>94.142857142857139</v>
      </c>
      <c r="H246" s="136">
        <f>IFERROR(VLOOKUP(H$4,NICU!$BL$5:$BT$18,6,FALSE),"")</f>
        <v>100.28571428571429</v>
      </c>
      <c r="I246" s="136">
        <f>IFERROR(VLOOKUP(I$4,NICU!$BL$5:$BT$18,6,FALSE),"")</f>
        <v>100.14285714285714</v>
      </c>
      <c r="J246" s="136">
        <f>IFERROR(VLOOKUP(J$4,NICU!$BL$5:$BT$18,6,FALSE),"")</f>
        <v>108.42857142857143</v>
      </c>
      <c r="K246" s="136">
        <f>IFERROR(VLOOKUP(K$4,NICU!$BL$5:$BT$18,6,FALSE),"")</f>
        <v>109.71428571428571</v>
      </c>
      <c r="L246" s="136">
        <f>IFERROR(VLOOKUP(L$4,NICU!$BL$5:$BT$18,6,FALSE),"")</f>
        <v>105.57142857142857</v>
      </c>
      <c r="M246" s="136">
        <f>IFERROR(VLOOKUP(M$4,NICU!$BL$5:$BT$18,6,FALSE),"")</f>
        <v>110.28571428571429</v>
      </c>
      <c r="N246" s="136">
        <f>IFERROR(VLOOKUP(N$4,NICU!$BL$5:$BT$18,6,FALSE),"")</f>
        <v>109.57142857142857</v>
      </c>
      <c r="O246" s="136">
        <f>IFERROR(VLOOKUP(O$4,NICU!$BL$5:$BT$18,6,FALSE),"")</f>
        <v>115.14285714285714</v>
      </c>
      <c r="P246" s="136">
        <f>IFERROR(VLOOKUP(P$4,NICU!$BL$5:$BT$18,6,FALSE),"")</f>
        <v>119.42857142857143</v>
      </c>
      <c r="Q246" s="96" t="str">
        <f>IFERROR(VLOOKUP(Q$4,NICU!$BL$5:$BS$19,6,FALSE),"")</f>
        <v/>
      </c>
      <c r="Z246" s="49"/>
      <c r="AA246" s="49"/>
      <c r="AB246" s="49"/>
      <c r="AC246" s="49"/>
    </row>
    <row r="247" spans="2:29" x14ac:dyDescent="0.35">
      <c r="B247" s="162"/>
      <c r="C247" s="11" t="s">
        <v>228</v>
      </c>
      <c r="D247" s="136">
        <f>IFERROR(VLOOKUP(D$4,NICU!$BL$5:$BT$18,7,FALSE),"")</f>
        <v>59.714285714285715</v>
      </c>
      <c r="E247" s="136">
        <f>IFERROR(VLOOKUP(E$4,NICU!$BL$5:$BT$18,7,FALSE),"")</f>
        <v>61.571428571428569</v>
      </c>
      <c r="F247" s="136">
        <f>IFERROR(VLOOKUP(F$4,NICU!$BL$5:$BT$18,7,FALSE),"")</f>
        <v>50</v>
      </c>
      <c r="G247" s="136">
        <f>IFERROR(VLOOKUP(G$4,NICU!$BL$5:$BT$18,7,FALSE),"")</f>
        <v>60.428571428571431</v>
      </c>
      <c r="H247" s="136">
        <f>IFERROR(VLOOKUP(H$4,NICU!$BL$5:$BT$18,7,FALSE),"")</f>
        <v>59.714285714285715</v>
      </c>
      <c r="I247" s="136">
        <f>IFERROR(VLOOKUP(I$4,NICU!$BL$5:$BT$18,7,FALSE),"")</f>
        <v>52</v>
      </c>
      <c r="J247" s="136">
        <f>IFERROR(VLOOKUP(J$4,NICU!$BL$5:$BT$18,7,FALSE),"")</f>
        <v>48.285714285714285</v>
      </c>
      <c r="K247" s="136">
        <f>IFERROR(VLOOKUP(K$4,NICU!$BL$5:$BT$18,7,FALSE),"")</f>
        <v>46.285714285714285</v>
      </c>
      <c r="L247" s="136">
        <f>IFERROR(VLOOKUP(L$4,NICU!$BL$5:$BT$18,7,FALSE),"")</f>
        <v>49.571428571428569</v>
      </c>
      <c r="M247" s="136">
        <f>IFERROR(VLOOKUP(M$4,NICU!$BL$5:$BT$18,7,FALSE),"")</f>
        <v>54.285714285714285</v>
      </c>
      <c r="N247" s="136">
        <f>IFERROR(VLOOKUP(N$4,NICU!$BL$5:$BT$18,7,FALSE),"")</f>
        <v>52.857142857142854</v>
      </c>
      <c r="O247" s="136">
        <f>IFERROR(VLOOKUP(O$4,NICU!$BL$5:$BT$18,7,FALSE),"")</f>
        <v>44.428571428571431</v>
      </c>
      <c r="P247" s="136">
        <f>IFERROR(VLOOKUP(P$4,NICU!$BL$5:$BT$18,7,FALSE),"")</f>
        <v>42</v>
      </c>
      <c r="Q247" s="96" t="str">
        <f>IFERROR(VLOOKUP(Q$4,NICU!$BL$5:$BS$19,7,FALSE),"")</f>
        <v/>
      </c>
      <c r="Z247" s="49"/>
      <c r="AA247" s="49"/>
      <c r="AB247" s="49"/>
      <c r="AC247" s="49"/>
    </row>
    <row r="248" spans="2:29" ht="30" customHeight="1" x14ac:dyDescent="0.35">
      <c r="C248" s="1"/>
    </row>
    <row r="249" spans="2:29" ht="15" customHeight="1" x14ac:dyDescent="0.35">
      <c r="B249" s="162" t="s">
        <v>24</v>
      </c>
      <c r="C249" s="39" t="s">
        <v>20</v>
      </c>
      <c r="D249" s="120">
        <v>97472</v>
      </c>
      <c r="E249" s="120">
        <v>96284</v>
      </c>
      <c r="F249" s="120">
        <v>99091</v>
      </c>
      <c r="G249" s="120">
        <v>99156</v>
      </c>
      <c r="H249" s="120">
        <v>101949</v>
      </c>
      <c r="I249" s="120">
        <v>98751</v>
      </c>
      <c r="J249" s="120">
        <v>97577</v>
      </c>
      <c r="K249" s="120">
        <v>98072</v>
      </c>
      <c r="L249" s="120">
        <v>97620</v>
      </c>
      <c r="M249" s="120">
        <v>99971</v>
      </c>
      <c r="N249" s="120">
        <v>98237</v>
      </c>
      <c r="O249" s="120">
        <v>95289</v>
      </c>
      <c r="P249" s="120">
        <v>93927</v>
      </c>
      <c r="Z249" s="163" t="s">
        <v>35</v>
      </c>
      <c r="AA249" s="163"/>
      <c r="AB249" s="163"/>
      <c r="AC249" s="163"/>
    </row>
    <row r="250" spans="2:29" ht="15" customHeight="1" x14ac:dyDescent="0.35">
      <c r="B250" s="162"/>
      <c r="C250" s="1" t="s">
        <v>252</v>
      </c>
      <c r="D250" s="14">
        <v>100129</v>
      </c>
      <c r="E250" s="14">
        <v>99958</v>
      </c>
      <c r="F250" s="14">
        <v>100884</v>
      </c>
      <c r="G250" s="14">
        <v>98558</v>
      </c>
      <c r="H250" s="14">
        <v>100569</v>
      </c>
      <c r="I250" s="14">
        <v>95738</v>
      </c>
      <c r="J250" s="14">
        <v>94512</v>
      </c>
      <c r="K250" s="14">
        <v>93701</v>
      </c>
      <c r="L250" s="14">
        <v>96519</v>
      </c>
      <c r="M250" s="14">
        <v>93938</v>
      </c>
      <c r="N250" s="14">
        <v>94510</v>
      </c>
      <c r="O250" s="14">
        <v>94740</v>
      </c>
      <c r="P250" s="14">
        <v>93874</v>
      </c>
      <c r="Z250" s="163"/>
      <c r="AA250" s="163"/>
      <c r="AB250" s="163"/>
      <c r="AC250" s="163"/>
    </row>
    <row r="251" spans="2:29" ht="7.5" customHeight="1" x14ac:dyDescent="0.35">
      <c r="B251" s="162"/>
      <c r="Z251" s="163"/>
      <c r="AA251" s="163"/>
      <c r="AB251" s="163"/>
      <c r="AC251" s="163"/>
    </row>
    <row r="252" spans="2:29" x14ac:dyDescent="0.35">
      <c r="B252" s="162"/>
      <c r="C252" s="16" t="s">
        <v>294</v>
      </c>
      <c r="D252" s="65">
        <f>IFERROR(VLOOKUP(D$4, Ambulance!$M$3:$U$16,2,FALSE),"")</f>
        <v>90215</v>
      </c>
      <c r="E252" s="65">
        <f>IFERROR(VLOOKUP(E$4, Ambulance!$M$3:$U$16,2,FALSE),"")</f>
        <v>90368</v>
      </c>
      <c r="F252" s="65">
        <f>IFERROR(VLOOKUP(F$4, Ambulance!$M$3:$U$16,2,FALSE),"")</f>
        <v>89023</v>
      </c>
      <c r="G252" s="65">
        <f>IFERROR(VLOOKUP(G$4, Ambulance!$M$3:$U$16,2,FALSE),"")</f>
        <v>86465</v>
      </c>
      <c r="H252" s="65">
        <f>IFERROR(VLOOKUP(H$4, Ambulance!$M$3:$U$16,2,FALSE),"")</f>
        <v>91303</v>
      </c>
      <c r="I252" s="65">
        <f>IFERROR(VLOOKUP(I$4, Ambulance!$M$3:$U$16,2,FALSE),"")</f>
        <v>86056</v>
      </c>
      <c r="J252" s="65">
        <f>IFERROR(VLOOKUP(J$4, Ambulance!$M$3:$U$16,2,FALSE),"")</f>
        <v>86050</v>
      </c>
      <c r="K252" s="65">
        <f>IFERROR(VLOOKUP(K$4, Ambulance!$M$3:$U$16,2,FALSE),"")</f>
        <v>88787</v>
      </c>
      <c r="L252" s="65">
        <f>IFERROR(VLOOKUP(L$4, Ambulance!$M$3:$U$16,2,FALSE),"")</f>
        <v>88595</v>
      </c>
      <c r="M252" s="65">
        <f>IFERROR(VLOOKUP(M$4, Ambulance!$M$3:$U$16,2,FALSE),"")</f>
        <v>87081</v>
      </c>
      <c r="N252" s="65">
        <f>IFERROR(VLOOKUP(N$4, Ambulance!$M$3:$U$16,2,FALSE),"")</f>
        <v>85028</v>
      </c>
      <c r="O252" s="65">
        <f>IFERROR(VLOOKUP(O$4, Ambulance!$M$3:$U$16,2,FALSE),"")</f>
        <v>90467</v>
      </c>
      <c r="P252" s="65">
        <f>IFERROR(VLOOKUP(P$4, Ambulance!$M$3:$U$16,2,FALSE),"")</f>
        <v>88075</v>
      </c>
      <c r="Q252" s="97"/>
      <c r="Z252" s="163"/>
      <c r="AA252" s="163"/>
      <c r="AB252" s="163"/>
      <c r="AC252" s="163"/>
    </row>
    <row r="253" spans="2:29" x14ac:dyDescent="0.35">
      <c r="B253" s="162"/>
      <c r="C253" s="1" t="s">
        <v>1</v>
      </c>
      <c r="D253" s="138">
        <f>IFERROR(VLOOKUP(D$4, Ambulance!$M$3:$U$16,3,FALSE),"")</f>
        <v>14673</v>
      </c>
      <c r="E253" s="138">
        <f>IFERROR(VLOOKUP(E$4, Ambulance!$M$3:$U$16,3,FALSE),"")</f>
        <v>14588</v>
      </c>
      <c r="F253" s="138">
        <f>IFERROR(VLOOKUP(F$4, Ambulance!$M$3:$U$16,3,FALSE),"")</f>
        <v>13903</v>
      </c>
      <c r="G253" s="138">
        <f>IFERROR(VLOOKUP(G$4, Ambulance!$M$3:$U$16,3,FALSE),"")</f>
        <v>12849</v>
      </c>
      <c r="H253" s="138">
        <f>IFERROR(VLOOKUP(H$4, Ambulance!$M$3:$U$16,3,FALSE),"")</f>
        <v>13978</v>
      </c>
      <c r="I253" s="138">
        <f>IFERROR(VLOOKUP(I$4, Ambulance!$M$3:$U$16,3,FALSE),"")</f>
        <v>12906</v>
      </c>
      <c r="J253" s="138">
        <f>IFERROR(VLOOKUP(J$4, Ambulance!$M$3:$U$16,3,FALSE),"")</f>
        <v>13561</v>
      </c>
      <c r="K253" s="138">
        <f>IFERROR(VLOOKUP(K$4, Ambulance!$M$3:$U$16,3,FALSE),"")</f>
        <v>14068</v>
      </c>
      <c r="L253" s="138">
        <f>IFERROR(VLOOKUP(L$4, Ambulance!$M$3:$U$16,3,FALSE),"")</f>
        <v>13973</v>
      </c>
      <c r="M253" s="138">
        <f>IFERROR(VLOOKUP(M$4, Ambulance!$M$3:$U$16,3,FALSE),"")</f>
        <v>13355</v>
      </c>
      <c r="N253" s="138">
        <f>IFERROR(VLOOKUP(N$4, Ambulance!$M$3:$U$16,3,FALSE),"")</f>
        <v>12943</v>
      </c>
      <c r="O253" s="138">
        <f>IFERROR(VLOOKUP(O$4, Ambulance!$M$3:$U$16,3,FALSE),"")</f>
        <v>13774</v>
      </c>
      <c r="P253" s="138">
        <f>IFERROR(VLOOKUP(P$4, Ambulance!$M$3:$U$16,3,FALSE),"")</f>
        <v>13475</v>
      </c>
      <c r="Q253" s="70" t="str">
        <f>IFERROR(VLOOKUP(Q$4, Ambulance!$M$3:$T$17,3,FALSE),"")</f>
        <v/>
      </c>
      <c r="Z253" s="163"/>
      <c r="AA253" s="163"/>
      <c r="AB253" s="163"/>
      <c r="AC253" s="163"/>
    </row>
    <row r="254" spans="2:29" x14ac:dyDescent="0.35">
      <c r="B254" s="162"/>
      <c r="C254" s="1" t="s">
        <v>226</v>
      </c>
      <c r="D254" s="138">
        <f>IFERROR(VLOOKUP(D$4, Ambulance!$M$3:$U$16,4,FALSE),"")</f>
        <v>18232</v>
      </c>
      <c r="E254" s="138">
        <f>IFERROR(VLOOKUP(E$4, Ambulance!$M$3:$U$16,4,FALSE),"")</f>
        <v>18196</v>
      </c>
      <c r="F254" s="138">
        <f>IFERROR(VLOOKUP(F$4, Ambulance!$M$3:$U$16,4,FALSE),"")</f>
        <v>17997</v>
      </c>
      <c r="G254" s="138">
        <f>IFERROR(VLOOKUP(G$4, Ambulance!$M$3:$U$16,4,FALSE),"")</f>
        <v>17761</v>
      </c>
      <c r="H254" s="138">
        <f>IFERROR(VLOOKUP(H$4, Ambulance!$M$3:$U$16,4,FALSE),"")</f>
        <v>18366</v>
      </c>
      <c r="I254" s="138">
        <f>IFERROR(VLOOKUP(I$4, Ambulance!$M$3:$U$16,4,FALSE),"")</f>
        <v>17726</v>
      </c>
      <c r="J254" s="138">
        <f>IFERROR(VLOOKUP(J$4, Ambulance!$M$3:$U$16,4,FALSE),"")</f>
        <v>17939</v>
      </c>
      <c r="K254" s="138">
        <f>IFERROR(VLOOKUP(K$4, Ambulance!$M$3:$U$16,4,FALSE),"")</f>
        <v>18289</v>
      </c>
      <c r="L254" s="138">
        <f>IFERROR(VLOOKUP(L$4, Ambulance!$M$3:$U$16,4,FALSE),"")</f>
        <v>17966</v>
      </c>
      <c r="M254" s="138">
        <f>IFERROR(VLOOKUP(M$4, Ambulance!$M$3:$U$16,4,FALSE),"")</f>
        <v>17880</v>
      </c>
      <c r="N254" s="138">
        <f>IFERROR(VLOOKUP(N$4, Ambulance!$M$3:$U$16,4,FALSE),"")</f>
        <v>17689</v>
      </c>
      <c r="O254" s="138">
        <f>IFERROR(VLOOKUP(O$4, Ambulance!$M$3:$U$16,4,FALSE),"")</f>
        <v>18699</v>
      </c>
      <c r="P254" s="138">
        <f>IFERROR(VLOOKUP(P$4, Ambulance!$M$3:$U$16,4,FALSE),"")</f>
        <v>18091</v>
      </c>
      <c r="Q254" s="70" t="str">
        <f>IFERROR(VLOOKUP(Q$4, Ambulance!$M$3:$T$17,4,FALSE),"")</f>
        <v/>
      </c>
      <c r="Z254" s="163"/>
      <c r="AA254" s="163"/>
      <c r="AB254" s="163"/>
      <c r="AC254" s="163"/>
    </row>
    <row r="255" spans="2:29" x14ac:dyDescent="0.35">
      <c r="B255" s="162"/>
      <c r="C255" s="1" t="s">
        <v>253</v>
      </c>
      <c r="D255" s="138">
        <f>IFERROR(VLOOKUP(D$4, Ambulance!$M$3:$U$16,8,FALSE),"")</f>
        <v>9810</v>
      </c>
      <c r="E255" s="138">
        <f>IFERROR(VLOOKUP(E$4, Ambulance!$M$3:$U$16,8,FALSE),"")</f>
        <v>9893</v>
      </c>
      <c r="F255" s="138">
        <f>IFERROR(VLOOKUP(F$4, Ambulance!$M$3:$U$16,8,FALSE),"")</f>
        <v>9739</v>
      </c>
      <c r="G255" s="138">
        <f>IFERROR(VLOOKUP(G$4, Ambulance!$M$3:$U$16,8,FALSE),"")</f>
        <v>9435</v>
      </c>
      <c r="H255" s="138">
        <f>IFERROR(VLOOKUP(H$4, Ambulance!$M$3:$U$16,8,FALSE),"")</f>
        <v>9876</v>
      </c>
      <c r="I255" s="138">
        <f>IFERROR(VLOOKUP(I$4, Ambulance!$M$3:$U$16,8,FALSE),"")</f>
        <v>9295</v>
      </c>
      <c r="J255" s="138">
        <f>IFERROR(VLOOKUP(J$4, Ambulance!$M$3:$U$16,8,FALSE),"")</f>
        <v>9101</v>
      </c>
      <c r="K255" s="138">
        <f>IFERROR(VLOOKUP(K$4, Ambulance!$M$3:$U$16,8,FALSE),"")</f>
        <v>9400</v>
      </c>
      <c r="L255" s="138">
        <f>IFERROR(VLOOKUP(L$4, Ambulance!$M$3:$U$16,8,FALSE),"")</f>
        <v>9714</v>
      </c>
      <c r="M255" s="138">
        <f>IFERROR(VLOOKUP(M$4, Ambulance!$M$3:$U$16,8,FALSE),"")</f>
        <v>9578</v>
      </c>
      <c r="N255" s="138">
        <f>IFERROR(VLOOKUP(N$4, Ambulance!$M$3:$U$16,8,FALSE),"")</f>
        <v>9407</v>
      </c>
      <c r="O255" s="138">
        <f>IFERROR(VLOOKUP(O$4, Ambulance!$M$3:$U$16,8,FALSE),"")</f>
        <v>10002</v>
      </c>
      <c r="P255" s="138">
        <f>IFERROR(VLOOKUP(P$4, Ambulance!$M$3:$U$16,8,FALSE),"")</f>
        <v>9562</v>
      </c>
      <c r="Q255" s="70"/>
      <c r="Z255" s="107"/>
      <c r="AA255" s="107"/>
      <c r="AB255" s="107"/>
      <c r="AC255" s="107"/>
    </row>
    <row r="256" spans="2:29" x14ac:dyDescent="0.35">
      <c r="B256" s="162"/>
      <c r="C256" s="1" t="s">
        <v>254</v>
      </c>
      <c r="D256" s="138">
        <f>IFERROR(VLOOKUP(D$4, Ambulance!$M$3:$U$16,5,FALSE),"")</f>
        <v>13758</v>
      </c>
      <c r="E256" s="138">
        <f>IFERROR(VLOOKUP(E$4, Ambulance!$M$3:$U$16,5,FALSE),"")</f>
        <v>13740</v>
      </c>
      <c r="F256" s="138">
        <f>IFERROR(VLOOKUP(F$4, Ambulance!$M$3:$U$16,5,FALSE),"")</f>
        <v>13938</v>
      </c>
      <c r="G256" s="138">
        <f>IFERROR(VLOOKUP(G$4, Ambulance!$M$3:$U$16,5,FALSE),"")</f>
        <v>13309</v>
      </c>
      <c r="H256" s="138">
        <f>IFERROR(VLOOKUP(H$4, Ambulance!$M$3:$U$16,5,FALSE),"")</f>
        <v>14309</v>
      </c>
      <c r="I256" s="138">
        <f>IFERROR(VLOOKUP(I$4, Ambulance!$M$3:$U$16,5,FALSE),"")</f>
        <v>13552</v>
      </c>
      <c r="J256" s="138">
        <f>IFERROR(VLOOKUP(J$4, Ambulance!$M$3:$U$16,5,FALSE),"")</f>
        <v>13137</v>
      </c>
      <c r="K256" s="138">
        <f>IFERROR(VLOOKUP(K$4, Ambulance!$M$3:$U$16,5,FALSE),"")</f>
        <v>13776</v>
      </c>
      <c r="L256" s="138">
        <f>IFERROR(VLOOKUP(L$4, Ambulance!$M$3:$U$16,5,FALSE),"")</f>
        <v>13335</v>
      </c>
      <c r="M256" s="138">
        <f>IFERROR(VLOOKUP(M$4, Ambulance!$M$3:$U$16,5,FALSE),"")</f>
        <v>13205</v>
      </c>
      <c r="N256" s="138">
        <f>IFERROR(VLOOKUP(N$4, Ambulance!$M$3:$U$16,5,FALSE),"")</f>
        <v>13241</v>
      </c>
      <c r="O256" s="138">
        <f>IFERROR(VLOOKUP(O$4, Ambulance!$M$3:$U$16,5,FALSE),"")</f>
        <v>13939</v>
      </c>
      <c r="P256" s="138">
        <f>IFERROR(VLOOKUP(P$4, Ambulance!$M$3:$U$16,5,FALSE),"")</f>
        <v>13564</v>
      </c>
      <c r="Q256" s="70"/>
      <c r="Z256" s="107"/>
      <c r="AA256" s="107"/>
      <c r="AB256" s="107"/>
      <c r="AC256" s="107"/>
    </row>
    <row r="257" spans="2:29" x14ac:dyDescent="0.35">
      <c r="B257" s="162"/>
      <c r="C257" s="1" t="s">
        <v>256</v>
      </c>
      <c r="D257" s="138">
        <f>IFERROR(VLOOKUP(D$4, Ambulance!$M$3:$U$16,9,FALSE),"")</f>
        <v>11614</v>
      </c>
      <c r="E257" s="138">
        <f>IFERROR(VLOOKUP(E$4, Ambulance!$M$3:$U$16,9,FALSE),"")</f>
        <v>11659</v>
      </c>
      <c r="F257" s="138">
        <f>IFERROR(VLOOKUP(F$4, Ambulance!$M$3:$U$16,9,FALSE),"")</f>
        <v>11749</v>
      </c>
      <c r="G257" s="138">
        <f>IFERROR(VLOOKUP(G$4, Ambulance!$M$3:$U$16,9,FALSE),"")</f>
        <v>11711</v>
      </c>
      <c r="H257" s="138">
        <f>IFERROR(VLOOKUP(H$4, Ambulance!$M$3:$U$16,9,FALSE),"")</f>
        <v>12580</v>
      </c>
      <c r="I257" s="138">
        <f>IFERROR(VLOOKUP(I$4, Ambulance!$M$3:$U$16,9,FALSE),"")</f>
        <v>11547</v>
      </c>
      <c r="J257" s="138">
        <f>IFERROR(VLOOKUP(J$4, Ambulance!$M$3:$U$16,9,FALSE),"")</f>
        <v>11488</v>
      </c>
      <c r="K257" s="138">
        <f>IFERROR(VLOOKUP(K$4, Ambulance!$M$3:$U$16,9,FALSE),"")</f>
        <v>11639</v>
      </c>
      <c r="L257" s="138">
        <f>IFERROR(VLOOKUP(L$4, Ambulance!$M$3:$U$16,9,FALSE),"")</f>
        <v>11990</v>
      </c>
      <c r="M257" s="138">
        <f>IFERROR(VLOOKUP(M$4, Ambulance!$M$3:$U$16,9,FALSE),"")</f>
        <v>11655</v>
      </c>
      <c r="N257" s="138">
        <f>IFERROR(VLOOKUP(N$4, Ambulance!$M$3:$U$16,9,FALSE),"")</f>
        <v>11167</v>
      </c>
      <c r="O257" s="138">
        <f>IFERROR(VLOOKUP(O$4, Ambulance!$M$3:$U$16,9,FALSE),"")</f>
        <v>11965</v>
      </c>
      <c r="P257" s="138">
        <f>IFERROR(VLOOKUP(P$4, Ambulance!$M$3:$U$16,9,FALSE),"")</f>
        <v>11881</v>
      </c>
      <c r="Q257" s="70" t="str">
        <f>IFERROR(VLOOKUP(Q$4, Ambulance!$M$3:$T$17,5,FALSE),"")</f>
        <v/>
      </c>
      <c r="Z257" s="160" t="s">
        <v>231</v>
      </c>
      <c r="AA257" s="160"/>
      <c r="AB257" s="160"/>
      <c r="AC257" s="160"/>
    </row>
    <row r="258" spans="2:29" ht="17.25" customHeight="1" x14ac:dyDescent="0.35">
      <c r="B258" s="162"/>
      <c r="C258" s="1" t="s">
        <v>223</v>
      </c>
      <c r="D258" s="138">
        <f>IFERROR(VLOOKUP(D$4, Ambulance!$M$3:$U$16,6,FALSE),"")</f>
        <v>13316</v>
      </c>
      <c r="E258" s="138">
        <f>IFERROR(VLOOKUP(E$4, Ambulance!$M$3:$U$16,6,FALSE),"")</f>
        <v>13214</v>
      </c>
      <c r="F258" s="138">
        <f>IFERROR(VLOOKUP(F$4, Ambulance!$M$3:$U$16,6,FALSE),"")</f>
        <v>12857</v>
      </c>
      <c r="G258" s="138">
        <f>IFERROR(VLOOKUP(G$4, Ambulance!$M$3:$U$16,6,FALSE),"")</f>
        <v>12869</v>
      </c>
      <c r="H258" s="138">
        <f>IFERROR(VLOOKUP(H$4, Ambulance!$M$3:$U$16,6,FALSE),"")</f>
        <v>13292</v>
      </c>
      <c r="I258" s="138">
        <f>IFERROR(VLOOKUP(I$4, Ambulance!$M$3:$U$16,6,FALSE),"")</f>
        <v>12792</v>
      </c>
      <c r="J258" s="138">
        <f>IFERROR(VLOOKUP(J$4, Ambulance!$M$3:$U$16,6,FALSE),"")</f>
        <v>12633</v>
      </c>
      <c r="K258" s="138">
        <f>IFERROR(VLOOKUP(K$4, Ambulance!$M$3:$U$16,6,FALSE),"")</f>
        <v>13328</v>
      </c>
      <c r="L258" s="138">
        <f>IFERROR(VLOOKUP(L$4, Ambulance!$M$3:$U$16,6,FALSE),"")</f>
        <v>13199</v>
      </c>
      <c r="M258" s="138">
        <f>IFERROR(VLOOKUP(M$4, Ambulance!$M$3:$U$16,6,FALSE),"")</f>
        <v>12827</v>
      </c>
      <c r="N258" s="138">
        <f>IFERROR(VLOOKUP(N$4, Ambulance!$M$3:$U$16,6,FALSE),"")</f>
        <v>12383</v>
      </c>
      <c r="O258" s="138">
        <f>IFERROR(VLOOKUP(O$4, Ambulance!$M$3:$U$16,6,FALSE),"")</f>
        <v>13291</v>
      </c>
      <c r="P258" s="138">
        <f>IFERROR(VLOOKUP(P$4, Ambulance!$M$3:$U$16,6,FALSE),"")</f>
        <v>12769</v>
      </c>
      <c r="Q258" s="70" t="str">
        <f>IFERROR(VLOOKUP(Q$4, Ambulance!$M$3:$T$17,6,FALSE),"")</f>
        <v/>
      </c>
      <c r="Z258" s="160"/>
      <c r="AA258" s="160"/>
      <c r="AB258" s="160"/>
      <c r="AC258" s="160"/>
    </row>
    <row r="259" spans="2:29" ht="17.25" customHeight="1" x14ac:dyDescent="0.35">
      <c r="B259" s="162"/>
      <c r="C259" s="11" t="s">
        <v>228</v>
      </c>
      <c r="D259" s="138">
        <f>IFERROR(VLOOKUP(D$4, Ambulance!$M$3:$U$16,7,FALSE),"")</f>
        <v>8812</v>
      </c>
      <c r="E259" s="138">
        <f>IFERROR(VLOOKUP(E$4, Ambulance!$M$3:$U$16,7,FALSE),"")</f>
        <v>9078</v>
      </c>
      <c r="F259" s="138">
        <f>IFERROR(VLOOKUP(F$4, Ambulance!$M$3:$U$16,7,FALSE),"")</f>
        <v>8840</v>
      </c>
      <c r="G259" s="138">
        <f>IFERROR(VLOOKUP(G$4, Ambulance!$M$3:$U$16,7,FALSE),"")</f>
        <v>8531</v>
      </c>
      <c r="H259" s="138">
        <f>IFERROR(VLOOKUP(H$4, Ambulance!$M$3:$U$16,7,FALSE),"")</f>
        <v>8902</v>
      </c>
      <c r="I259" s="138">
        <f>IFERROR(VLOOKUP(I$4, Ambulance!$M$3:$U$16,7,FALSE),"")</f>
        <v>8238</v>
      </c>
      <c r="J259" s="138">
        <f>IFERROR(VLOOKUP(J$4, Ambulance!$M$3:$U$16,7,FALSE),"")</f>
        <v>8191</v>
      </c>
      <c r="K259" s="138">
        <f>IFERROR(VLOOKUP(K$4, Ambulance!$M$3:$U$16,7,FALSE),"")</f>
        <v>8287</v>
      </c>
      <c r="L259" s="138">
        <f>IFERROR(VLOOKUP(L$4, Ambulance!$M$3:$U$16,7,FALSE),"")</f>
        <v>8418</v>
      </c>
      <c r="M259" s="138">
        <f>IFERROR(VLOOKUP(M$4, Ambulance!$M$3:$U$16,7,FALSE),"")</f>
        <v>8581</v>
      </c>
      <c r="N259" s="138">
        <f>IFERROR(VLOOKUP(N$4, Ambulance!$M$3:$U$16,7,FALSE),"")</f>
        <v>8198</v>
      </c>
      <c r="O259" s="138">
        <f>IFERROR(VLOOKUP(O$4, Ambulance!$M$3:$U$16,7,FALSE),"")</f>
        <v>8797</v>
      </c>
      <c r="P259" s="138">
        <f>IFERROR(VLOOKUP(P$4, Ambulance!$M$3:$U$16,7,FALSE),"")</f>
        <v>8733</v>
      </c>
      <c r="Q259" s="70" t="str">
        <f>IFERROR(VLOOKUP(Q$4, Ambulance!$M$3:$T$17,7,FALSE),"")</f>
        <v/>
      </c>
      <c r="Z259" s="160"/>
      <c r="AA259" s="160"/>
      <c r="AB259" s="160"/>
      <c r="AC259" s="160"/>
    </row>
    <row r="260" spans="2:29" s="42" customFormat="1" ht="9" customHeight="1" x14ac:dyDescent="0.35">
      <c r="B260" s="162"/>
      <c r="C260" s="11"/>
      <c r="D260" s="70"/>
      <c r="E260" s="70"/>
      <c r="F260" s="70"/>
      <c r="G260" s="70"/>
      <c r="H260" s="70"/>
      <c r="I260" s="70"/>
      <c r="J260" s="70"/>
      <c r="K260" s="70"/>
      <c r="L260" s="70"/>
      <c r="M260" s="70"/>
      <c r="N260" s="70"/>
      <c r="O260" s="70"/>
      <c r="P260" s="70"/>
      <c r="Q260" s="70"/>
      <c r="Z260" s="160"/>
      <c r="AA260" s="160"/>
      <c r="AB260" s="160"/>
      <c r="AC260" s="160"/>
    </row>
    <row r="261" spans="2:29" x14ac:dyDescent="0.35">
      <c r="B261" s="162"/>
      <c r="C261" s="39" t="s">
        <v>21</v>
      </c>
      <c r="D261" s="119">
        <v>0.10951863099146422</v>
      </c>
      <c r="E261" s="119">
        <v>9.7181255452619339E-2</v>
      </c>
      <c r="F261" s="119">
        <v>9.7657708570909565E-2</v>
      </c>
      <c r="G261" s="119">
        <v>9.7997095485901006E-2</v>
      </c>
      <c r="H261" s="119">
        <v>0.12050142718418033</v>
      </c>
      <c r="I261" s="119">
        <v>0.12481898917479317</v>
      </c>
      <c r="J261" s="119">
        <v>0.11664634083851727</v>
      </c>
      <c r="K261" s="119">
        <v>0.12176768088751122</v>
      </c>
      <c r="L261" s="119">
        <v>0.12160417947141978</v>
      </c>
      <c r="M261" s="119">
        <v>0.13510918166268218</v>
      </c>
      <c r="N261" s="119">
        <v>0.1241996396469762</v>
      </c>
      <c r="O261" s="119">
        <v>0.11279371176106372</v>
      </c>
      <c r="P261" s="119">
        <v>0.10601850373162136</v>
      </c>
      <c r="Z261" s="160"/>
      <c r="AA261" s="160"/>
      <c r="AB261" s="160"/>
      <c r="AC261" s="160"/>
    </row>
    <row r="262" spans="2:29" x14ac:dyDescent="0.35">
      <c r="B262" s="162"/>
      <c r="C262" s="1" t="s">
        <v>252</v>
      </c>
      <c r="D262" s="7">
        <v>0.14580191552896762</v>
      </c>
      <c r="E262" s="7">
        <v>0.16260829548410333</v>
      </c>
      <c r="F262" s="7">
        <v>0.17464612822647793</v>
      </c>
      <c r="G262" s="7">
        <v>0.14498062054830657</v>
      </c>
      <c r="H262" s="7">
        <v>0.1814773936302439</v>
      </c>
      <c r="I262" s="7">
        <v>0.16348785226346904</v>
      </c>
      <c r="J262" s="7">
        <v>0.13131665820213306</v>
      </c>
      <c r="K262" s="7">
        <v>0.11060714400059765</v>
      </c>
      <c r="L262" s="7">
        <v>0.14339145660439914</v>
      </c>
      <c r="M262" s="7">
        <v>0.12353892993250867</v>
      </c>
      <c r="N262" s="7">
        <v>0.1246746376044863</v>
      </c>
      <c r="O262" s="7">
        <v>0.12125818028287946</v>
      </c>
      <c r="P262" s="7">
        <v>0.12861921298762172</v>
      </c>
      <c r="Z262" s="160"/>
      <c r="AA262" s="160"/>
      <c r="AB262" s="160"/>
      <c r="AC262" s="160"/>
    </row>
    <row r="263" spans="2:29" ht="7.5" customHeight="1" x14ac:dyDescent="0.35">
      <c r="B263" s="162"/>
      <c r="Z263" s="160"/>
      <c r="AA263" s="160"/>
      <c r="AB263" s="160"/>
      <c r="AC263" s="160"/>
    </row>
    <row r="264" spans="2:29" x14ac:dyDescent="0.35">
      <c r="B264" s="162"/>
      <c r="C264" s="16" t="s">
        <v>294</v>
      </c>
      <c r="D264" s="67">
        <f>IFERROR(VLOOKUP(D$4,Ambulance!$AY$5:$BG$18,2,FALSE),"")</f>
        <v>0.11035858781799035</v>
      </c>
      <c r="E264" s="67">
        <f>IFERROR(VLOOKUP(E$4,Ambulance!$AY$5:$BG$18,2,FALSE),"")</f>
        <v>0.1453943873937677</v>
      </c>
      <c r="F264" s="67">
        <f>IFERROR(VLOOKUP(F$4,Ambulance!$AY$5:$BG$18,2,FALSE),"")</f>
        <v>0.14659133033036406</v>
      </c>
      <c r="G264" s="67">
        <f>IFERROR(VLOOKUP(G$4,Ambulance!$AY$5:$BG$18,2,FALSE),"")</f>
        <v>0.10736136008789683</v>
      </c>
      <c r="H264" s="67">
        <f>IFERROR(VLOOKUP(H$4,Ambulance!$AY$5:$BG$18,2,FALSE),"")</f>
        <v>0.159622356330022</v>
      </c>
      <c r="I264" s="67">
        <f>IFERROR(VLOOKUP(I$4,Ambulance!$AY$5:$BG$18,2,FALSE),"")</f>
        <v>0.17174862879985126</v>
      </c>
      <c r="J264" s="67">
        <f>IFERROR(VLOOKUP(J$4,Ambulance!$AY$5:$BG$18,2,FALSE),"")</f>
        <v>0.12635676932016271</v>
      </c>
      <c r="K264" s="67">
        <f>IFERROR(VLOOKUP(K$4,Ambulance!$AY$5:$BG$18,2,FALSE),"")</f>
        <v>0.13006408595852997</v>
      </c>
      <c r="L264" s="67">
        <f>IFERROR(VLOOKUP(L$4,Ambulance!$AY$5:$BG$18,2,FALSE),"")</f>
        <v>0.10975788701393983</v>
      </c>
      <c r="M264" s="67">
        <f>IFERROR(VLOOKUP(M$4,Ambulance!$AY$5:$BG$18,2,FALSE),"")</f>
        <v>8.7722924633387309E-2</v>
      </c>
      <c r="N264" s="67">
        <f>IFERROR(VLOOKUP(N$4,Ambulance!$AY$5:$BG$18,2,FALSE),"")</f>
        <v>7.0811967822364402E-2</v>
      </c>
      <c r="O264" s="67">
        <f>IFERROR(VLOOKUP(O$4,Ambulance!$AY$5:$BG$18,2,FALSE),"")</f>
        <v>9.4951750362010451E-2</v>
      </c>
      <c r="P264" s="67">
        <f>IFERROR(VLOOKUP(P$4,Ambulance!$AY$5:$BG$18,2,FALSE),"")</f>
        <v>8.2179960261141077E-2</v>
      </c>
      <c r="Q264" s="94" t="str">
        <f>IFERROR(VLOOKUP(Q$4,Ambulance!$AY$5:$BF$19,2,FALSE),"")</f>
        <v/>
      </c>
      <c r="S264" s="3"/>
      <c r="T264" s="102"/>
      <c r="Z264" s="160"/>
      <c r="AA264" s="160"/>
      <c r="AB264" s="160"/>
      <c r="AC264" s="160"/>
    </row>
    <row r="265" spans="2:29" x14ac:dyDescent="0.35">
      <c r="B265" s="162"/>
      <c r="C265" s="1" t="s">
        <v>1</v>
      </c>
      <c r="D265" s="137">
        <f>IFERROR(VLOOKUP(D$4,Ambulance!$AY$5:$BG$18,3,FALSE),"")</f>
        <v>7.646698016765488E-2</v>
      </c>
      <c r="E265" s="137">
        <f>IFERROR(VLOOKUP(E$4,Ambulance!$AY$5:$BG$18,3,FALSE),"")</f>
        <v>0.11886482040032904</v>
      </c>
      <c r="F265" s="137">
        <f>IFERROR(VLOOKUP(F$4,Ambulance!$AY$5:$BG$18,3,FALSE),"")</f>
        <v>0.13925052147018629</v>
      </c>
      <c r="G265" s="137">
        <f>IFERROR(VLOOKUP(G$4,Ambulance!$AY$5:$BG$18,3,FALSE),"")</f>
        <v>0.1239785197291618</v>
      </c>
      <c r="H265" s="137">
        <f>IFERROR(VLOOKUP(H$4,Ambulance!$AY$5:$BG$18,3,FALSE),"")</f>
        <v>0.1830018600658177</v>
      </c>
      <c r="I265" s="137">
        <f>IFERROR(VLOOKUP(I$4,Ambulance!$AY$5:$BG$18,3,FALSE),"")</f>
        <v>0.18518518518518517</v>
      </c>
      <c r="J265" s="137">
        <f>IFERROR(VLOOKUP(J$4,Ambulance!$AY$5:$BG$18,3,FALSE),"")</f>
        <v>0.10183614777671263</v>
      </c>
      <c r="K265" s="137">
        <f>IFERROR(VLOOKUP(K$4,Ambulance!$AY$5:$BG$18,3,FALSE),"")</f>
        <v>0.11586579471140177</v>
      </c>
      <c r="L265" s="137">
        <f>IFERROR(VLOOKUP(L$4,Ambulance!$AY$5:$BG$18,3,FALSE),"")</f>
        <v>0.1001932298003292</v>
      </c>
      <c r="M265" s="137">
        <f>IFERROR(VLOOKUP(M$4,Ambulance!$AY$5:$BG$18,3,FALSE),"")</f>
        <v>5.8929239985024334E-2</v>
      </c>
      <c r="N265" s="137">
        <f>IFERROR(VLOOKUP(N$4,Ambulance!$AY$5:$BG$18,3,FALSE),"")</f>
        <v>7.0385536583481415E-2</v>
      </c>
      <c r="O265" s="137">
        <f>IFERROR(VLOOKUP(O$4,Ambulance!$AY$5:$BG$18,3,FALSE),"")</f>
        <v>6.613910265718019E-2</v>
      </c>
      <c r="P265" s="137">
        <f>IFERROR(VLOOKUP(P$4,Ambulance!$AY$5:$BG$18,3,FALSE),"")</f>
        <v>4.7346938775510203E-2</v>
      </c>
      <c r="Q265" s="69" t="str">
        <f>IFERROR(VLOOKUP(Q$4,Ambulance!$AY$5:$BF$19,3,FALSE),"")</f>
        <v/>
      </c>
      <c r="Z265" s="160"/>
      <c r="AA265" s="160"/>
      <c r="AB265" s="160"/>
      <c r="AC265" s="160"/>
    </row>
    <row r="266" spans="2:29" x14ac:dyDescent="0.35">
      <c r="B266" s="162"/>
      <c r="C266" s="1" t="s">
        <v>226</v>
      </c>
      <c r="D266" s="137">
        <f>IFERROR(VLOOKUP(D$4,Ambulance!$AY$5:$BG$18,4,FALSE),"")</f>
        <v>0.14962702939885913</v>
      </c>
      <c r="E266" s="137">
        <f>IFERROR(VLOOKUP(E$4,Ambulance!$AY$5:$BG$18,4,FALSE),"")</f>
        <v>0.19647175203341394</v>
      </c>
      <c r="F266" s="137">
        <f>IFERROR(VLOOKUP(F$4,Ambulance!$AY$5:$BG$18,4,FALSE),"")</f>
        <v>0.19647719064288494</v>
      </c>
      <c r="G266" s="137">
        <f>IFERROR(VLOOKUP(G$4,Ambulance!$AY$5:$BG$18,4,FALSE),"")</f>
        <v>0.13614098305275604</v>
      </c>
      <c r="H266" s="137">
        <f>IFERROR(VLOOKUP(H$4,Ambulance!$AY$5:$BG$18,4,FALSE),"")</f>
        <v>0.19830120875530871</v>
      </c>
      <c r="I266" s="137">
        <f>IFERROR(VLOOKUP(I$4,Ambulance!$AY$5:$BG$18,4,FALSE),"")</f>
        <v>0.22396479747263906</v>
      </c>
      <c r="J266" s="137">
        <f>IFERROR(VLOOKUP(J$4,Ambulance!$AY$5:$BG$18,4,FALSE),"")</f>
        <v>0.17442443837449134</v>
      </c>
      <c r="K266" s="137">
        <f>IFERROR(VLOOKUP(K$4,Ambulance!$AY$5:$BG$18,4,FALSE),"")</f>
        <v>0.18442779813002352</v>
      </c>
      <c r="L266" s="137">
        <f>IFERROR(VLOOKUP(L$4,Ambulance!$AY$5:$BG$18,4,FALSE),"")</f>
        <v>0.15846599131693198</v>
      </c>
      <c r="M266" s="137">
        <f>IFERROR(VLOOKUP(M$4,Ambulance!$AY$5:$BG$18,4,FALSE),"")</f>
        <v>0.11191275167785235</v>
      </c>
      <c r="N266" s="137">
        <f>IFERROR(VLOOKUP(N$4,Ambulance!$AY$5:$BG$18,4,FALSE),"")</f>
        <v>8.9886370060489565E-2</v>
      </c>
      <c r="O266" s="137">
        <f>IFERROR(VLOOKUP(O$4,Ambulance!$AY$5:$BG$18,4,FALSE),"")</f>
        <v>0.13412481950906466</v>
      </c>
      <c r="P266" s="137">
        <f>IFERROR(VLOOKUP(P$4,Ambulance!$AY$5:$BG$18,4,FALSE),"")</f>
        <v>0.12464761483610635</v>
      </c>
      <c r="Q266" s="69" t="str">
        <f>IFERROR(VLOOKUP(Q$4,Ambulance!$AY$5:$BF$19,4,FALSE),"")</f>
        <v/>
      </c>
      <c r="Z266" s="160"/>
      <c r="AA266" s="160"/>
      <c r="AB266" s="160"/>
      <c r="AC266" s="160"/>
    </row>
    <row r="267" spans="2:29" x14ac:dyDescent="0.35">
      <c r="B267" s="162"/>
      <c r="C267" s="1" t="s">
        <v>253</v>
      </c>
      <c r="D267" s="137">
        <f>IFERROR(VLOOKUP(D$4,Ambulance!$AY$5:$BG$18,8,FALSE),"")</f>
        <v>0.16452599388379205</v>
      </c>
      <c r="E267" s="137">
        <f>IFERROR(VLOOKUP(E$4,Ambulance!$AY$5:$BG$18,8,FALSE),"")</f>
        <v>0.22632164156474274</v>
      </c>
      <c r="F267" s="137">
        <f>IFERROR(VLOOKUP(F$4,Ambulance!$AY$5:$BG$18,8,FALSE),"")</f>
        <v>0.21860560632508472</v>
      </c>
      <c r="G267" s="137">
        <f>IFERROR(VLOOKUP(G$4,Ambulance!$AY$5:$BG$18,8,FALSE),"")</f>
        <v>0.15580286168521462</v>
      </c>
      <c r="H267" s="137">
        <f>IFERROR(VLOOKUP(H$4,Ambulance!$AY$5:$BG$18,8,FALSE),"")</f>
        <v>0.2131429728635075</v>
      </c>
      <c r="I267" s="137">
        <f>IFERROR(VLOOKUP(I$4,Ambulance!$AY$5:$BG$18,8,FALSE),"")</f>
        <v>0.21818181818181817</v>
      </c>
      <c r="J267" s="137">
        <f>IFERROR(VLOOKUP(J$4,Ambulance!$AY$5:$BG$18,8,FALSE),"")</f>
        <v>0.1832765630150533</v>
      </c>
      <c r="K267" s="137">
        <f>IFERROR(VLOOKUP(K$4,Ambulance!$AY$5:$BG$18,8,FALSE),"")</f>
        <v>0.18308510638297873</v>
      </c>
      <c r="L267" s="137">
        <f>IFERROR(VLOOKUP(L$4,Ambulance!$AY$5:$BG$18,8,FALSE),"")</f>
        <v>0.16903438336421658</v>
      </c>
      <c r="M267" s="137">
        <f>IFERROR(VLOOKUP(M$4,Ambulance!$AY$5:$BG$18,8,FALSE),"")</f>
        <v>0.13102944247233242</v>
      </c>
      <c r="N267" s="137">
        <f>IFERROR(VLOOKUP(N$4,Ambulance!$AY$5:$BG$18,8,FALSE),"")</f>
        <v>8.9401509514191554E-2</v>
      </c>
      <c r="O267" s="137">
        <f>IFERROR(VLOOKUP(O$4,Ambulance!$AY$5:$BG$18,8,FALSE),"")</f>
        <v>0.10357928414317137</v>
      </c>
      <c r="P267" s="137">
        <f>IFERROR(VLOOKUP(P$4,Ambulance!$AY$5:$BG$18,8,FALSE),"")</f>
        <v>0.10060656766366868</v>
      </c>
      <c r="Q267" s="69"/>
      <c r="Z267" s="160"/>
      <c r="AA267" s="160"/>
      <c r="AB267" s="160"/>
      <c r="AC267" s="160"/>
    </row>
    <row r="268" spans="2:29" x14ac:dyDescent="0.35">
      <c r="B268" s="162"/>
      <c r="C268" s="1" t="s">
        <v>254</v>
      </c>
      <c r="D268" s="137">
        <f>IFERROR(VLOOKUP(D$4,Ambulance!$AY$5:$BG$18,5,FALSE),"")</f>
        <v>7.9008576828027324E-2</v>
      </c>
      <c r="E268" s="137">
        <f>IFERROR(VLOOKUP(E$4,Ambulance!$AY$5:$BG$18,5,FALSE),"")</f>
        <v>8.4061135371179041E-2</v>
      </c>
      <c r="F268" s="137">
        <f>IFERROR(VLOOKUP(F$4,Ambulance!$AY$5:$BG$18,5,FALSE),"")</f>
        <v>9.1548285263308937E-2</v>
      </c>
      <c r="G268" s="137">
        <f>IFERROR(VLOOKUP(G$4,Ambulance!$AY$5:$BG$18,5,FALSE),"")</f>
        <v>6.3340596588774514E-2</v>
      </c>
      <c r="H268" s="137">
        <f>IFERROR(VLOOKUP(H$4,Ambulance!$AY$5:$BG$18,5,FALSE),"")</f>
        <v>0.10699559717660213</v>
      </c>
      <c r="I268" s="137">
        <f>IFERROR(VLOOKUP(I$4,Ambulance!$AY$5:$BG$18,5,FALSE),"")</f>
        <v>0.10264167650531286</v>
      </c>
      <c r="J268" s="137">
        <f>IFERROR(VLOOKUP(J$4,Ambulance!$AY$5:$BG$18,5,FALSE),"")</f>
        <v>6.4246022684022228E-2</v>
      </c>
      <c r="K268" s="137">
        <f>IFERROR(VLOOKUP(K$4,Ambulance!$AY$5:$BG$18,5,FALSE),"")</f>
        <v>8.6599883855981413E-2</v>
      </c>
      <c r="L268" s="137">
        <f>IFERROR(VLOOKUP(L$4,Ambulance!$AY$5:$BG$18,5,FALSE),"")</f>
        <v>7.9415073115860518E-2</v>
      </c>
      <c r="M268" s="137">
        <f>IFERROR(VLOOKUP(M$4,Ambulance!$AY$5:$BG$18,5,FALSE),"")</f>
        <v>6.7474441499432034E-2</v>
      </c>
      <c r="N268" s="137">
        <f>IFERROR(VLOOKUP(N$4,Ambulance!$AY$5:$BG$18,5,FALSE),"")</f>
        <v>6.789517408050752E-2</v>
      </c>
      <c r="O268" s="137">
        <f>IFERROR(VLOOKUP(O$4,Ambulance!$AY$5:$BG$18,5,FALSE),"")</f>
        <v>8.4367601693091321E-2</v>
      </c>
      <c r="P268" s="137">
        <f>IFERROR(VLOOKUP(P$4,Ambulance!$AY$5:$BG$18,5,FALSE),"")</f>
        <v>8.4562076083751103E-2</v>
      </c>
      <c r="Q268" s="69"/>
      <c r="Z268" s="160"/>
      <c r="AA268" s="160"/>
      <c r="AB268" s="160"/>
      <c r="AC268" s="160"/>
    </row>
    <row r="269" spans="2:29" x14ac:dyDescent="0.35">
      <c r="B269" s="162"/>
      <c r="C269" s="1" t="s">
        <v>256</v>
      </c>
      <c r="D269" s="137">
        <f>IFERROR(VLOOKUP(D$4,Ambulance!$AY$5:$BG$18,9,FALSE),"")</f>
        <v>0.10082658859996556</v>
      </c>
      <c r="E269" s="137">
        <f>IFERROR(VLOOKUP(E$4,Ambulance!$AY$5:$BG$18,9,FALSE),"")</f>
        <v>0.108071018097607</v>
      </c>
      <c r="F269" s="137">
        <f>IFERROR(VLOOKUP(F$4,Ambulance!$AY$5:$BG$18,9,FALSE),"")</f>
        <v>0.1006043067495106</v>
      </c>
      <c r="G269" s="137">
        <f>IFERROR(VLOOKUP(G$4,Ambulance!$AY$5:$BG$18,9,FALSE),"")</f>
        <v>7.8814789514132011E-2</v>
      </c>
      <c r="H269" s="137">
        <f>IFERROR(VLOOKUP(H$4,Ambulance!$AY$5:$BG$18,9,FALSE),"")</f>
        <v>0.11383147853736089</v>
      </c>
      <c r="I269" s="137">
        <f>IFERROR(VLOOKUP(I$4,Ambulance!$AY$5:$BG$18,9,FALSE),"")</f>
        <v>0.11769290724863601</v>
      </c>
      <c r="J269" s="137">
        <f>IFERROR(VLOOKUP(J$4,Ambulance!$AY$5:$BG$18,9,FALSE),"")</f>
        <v>9.4707520891364902E-2</v>
      </c>
      <c r="K269" s="137">
        <f>IFERROR(VLOOKUP(K$4,Ambulance!$AY$5:$BG$18,9,FALSE),"")</f>
        <v>0.10842855915456655</v>
      </c>
      <c r="L269" s="137">
        <f>IFERROR(VLOOKUP(L$4,Ambulance!$AY$5:$BG$18,9,FALSE),"")</f>
        <v>8.4570475396163469E-2</v>
      </c>
      <c r="M269" s="137">
        <f>IFERROR(VLOOKUP(M$4,Ambulance!$AY$5:$BG$18,9,FALSE),"")</f>
        <v>6.0574860574860577E-2</v>
      </c>
      <c r="N269" s="137">
        <f>IFERROR(VLOOKUP(N$4,Ambulance!$AY$5:$BG$18,9,FALSE),"")</f>
        <v>5.3550640279394643E-2</v>
      </c>
      <c r="O269" s="137">
        <f>IFERROR(VLOOKUP(O$4,Ambulance!$AY$5:$BG$18,9,FALSE),"")</f>
        <v>5.7835353113246973E-2</v>
      </c>
      <c r="P269" s="137">
        <f>IFERROR(VLOOKUP(P$4,Ambulance!$AY$5:$BG$18,9,FALSE),"")</f>
        <v>6.1526807507785539E-2</v>
      </c>
      <c r="Q269" s="69" t="str">
        <f>IFERROR(VLOOKUP(Q$4,Ambulance!$AY$5:$BF$19,5,FALSE),"")</f>
        <v/>
      </c>
      <c r="Z269" s="160"/>
      <c r="AA269" s="160"/>
      <c r="AB269" s="160"/>
      <c r="AC269" s="160"/>
    </row>
    <row r="270" spans="2:29" ht="15.75" customHeight="1" x14ac:dyDescent="0.35">
      <c r="B270" s="162"/>
      <c r="C270" s="1" t="s">
        <v>223</v>
      </c>
      <c r="D270" s="137">
        <f>IFERROR(VLOOKUP(D$4,Ambulance!$AY$5:$BG$18,6,FALSE),"")</f>
        <v>9.0717933313307297E-2</v>
      </c>
      <c r="E270" s="137">
        <f>IFERROR(VLOOKUP(E$4,Ambulance!$AY$5:$BG$18,6,FALSE),"")</f>
        <v>0.12267292265778719</v>
      </c>
      <c r="F270" s="137">
        <f>IFERROR(VLOOKUP(F$4,Ambulance!$AY$5:$BG$18,6,FALSE),"")</f>
        <v>0.13463482927588083</v>
      </c>
      <c r="G270" s="137">
        <f>IFERROR(VLOOKUP(G$4,Ambulance!$AY$5:$BG$18,6,FALSE),"")</f>
        <v>0.10863314942886006</v>
      </c>
      <c r="H270" s="137">
        <f>IFERROR(VLOOKUP(H$4,Ambulance!$AY$5:$BG$18,6,FALSE),"")</f>
        <v>0.13451700270839603</v>
      </c>
      <c r="I270" s="137">
        <f>IFERROR(VLOOKUP(I$4,Ambulance!$AY$5:$BG$18,6,FALSE),"")</f>
        <v>0.16955909943714823</v>
      </c>
      <c r="J270" s="137">
        <f>IFERROR(VLOOKUP(J$4,Ambulance!$AY$5:$BG$18,6,FALSE),"")</f>
        <v>0.11335391435130214</v>
      </c>
      <c r="K270" s="137">
        <f>IFERROR(VLOOKUP(K$4,Ambulance!$AY$5:$BG$18,6,FALSE),"")</f>
        <v>7.8106242496998796E-2</v>
      </c>
      <c r="L270" s="137">
        <f>IFERROR(VLOOKUP(L$4,Ambulance!$AY$5:$BG$18,6,FALSE),"")</f>
        <v>6.1140995529964388E-2</v>
      </c>
      <c r="M270" s="137">
        <f>IFERROR(VLOOKUP(M$4,Ambulance!$AY$5:$BG$18,6,FALSE),"")</f>
        <v>6.2524362672487718E-2</v>
      </c>
      <c r="N270" s="137">
        <f>IFERROR(VLOOKUP(N$4,Ambulance!$AY$5:$BG$18,6,FALSE),"")</f>
        <v>3.763223774529597E-2</v>
      </c>
      <c r="O270" s="137">
        <f>IFERROR(VLOOKUP(O$4,Ambulance!$AY$5:$BG$18,6,FALSE),"")</f>
        <v>5.7482506959596717E-2</v>
      </c>
      <c r="P270" s="137">
        <f>IFERROR(VLOOKUP(P$4,Ambulance!$AY$5:$BG$18,6,FALSE),"")</f>
        <v>5.0904534419296738E-2</v>
      </c>
      <c r="Q270" s="69" t="str">
        <f>IFERROR(VLOOKUP(Q$4,Ambulance!$AY$5:$BF$19,6,FALSE),"")</f>
        <v/>
      </c>
      <c r="Z270" s="160"/>
      <c r="AA270" s="160"/>
      <c r="AB270" s="160"/>
      <c r="AC270" s="160"/>
    </row>
    <row r="271" spans="2:29" ht="15.75" customHeight="1" x14ac:dyDescent="0.35">
      <c r="B271" s="162"/>
      <c r="C271" s="11" t="s">
        <v>228</v>
      </c>
      <c r="D271" s="137">
        <f>IFERROR(VLOOKUP(D$4,Ambulance!$AY$5:$BG$18,7,FALSE),"")</f>
        <v>0.11643213799364503</v>
      </c>
      <c r="E271" s="137">
        <f>IFERROR(VLOOKUP(E$4,Ambulance!$AY$5:$BG$18,7,FALSE),"")</f>
        <v>0.17129323639568186</v>
      </c>
      <c r="F271" s="137">
        <f>IFERROR(VLOOKUP(F$4,Ambulance!$AY$5:$BG$18,7,FALSE),"")</f>
        <v>0.1425339366515837</v>
      </c>
      <c r="G271" s="137">
        <f>IFERROR(VLOOKUP(G$4,Ambulance!$AY$5:$BG$18,7,FALSE),"")</f>
        <v>7.4786074317196111E-2</v>
      </c>
      <c r="H271" s="137">
        <f>IFERROR(VLOOKUP(H$4,Ambulance!$AY$5:$BG$18,7,FALSE),"")</f>
        <v>0.17052347787014155</v>
      </c>
      <c r="I271" s="137">
        <f>IFERROR(VLOOKUP(I$4,Ambulance!$AY$5:$BG$18,7,FALSE),"")</f>
        <v>0.17880553532410778</v>
      </c>
      <c r="J271" s="137">
        <f>IFERROR(VLOOKUP(J$4,Ambulance!$AY$5:$BG$18,7,FALSE),"")</f>
        <v>0.16249542180441948</v>
      </c>
      <c r="K271" s="137">
        <f>IFERROR(VLOOKUP(K$4,Ambulance!$AY$5:$BG$18,7,FALSE),"")</f>
        <v>0.16025099553517558</v>
      </c>
      <c r="L271" s="137">
        <f>IFERROR(VLOOKUP(L$4,Ambulance!$AY$5:$BG$18,7,FALSE),"")</f>
        <v>0.11344737467331908</v>
      </c>
      <c r="M271" s="137">
        <f>IFERROR(VLOOKUP(M$4,Ambulance!$AY$5:$BG$18,7,FALSE),"")</f>
        <v>0.13949423144155693</v>
      </c>
      <c r="N271" s="137">
        <f>IFERROR(VLOOKUP(N$4,Ambulance!$AY$5:$BG$18,7,FALSE),"")</f>
        <v>8.7338375213466699E-2</v>
      </c>
      <c r="O271" s="137">
        <f>IFERROR(VLOOKUP(O$4,Ambulance!$AY$5:$BG$18,7,FALSE),"")</f>
        <v>0.17085370012504264</v>
      </c>
      <c r="P271" s="137">
        <f>IFERROR(VLOOKUP(P$4,Ambulance!$AY$5:$BG$18,7,FALSE),"")</f>
        <v>9.7904500171762276E-2</v>
      </c>
      <c r="Q271" s="69" t="str">
        <f>IFERROR(VLOOKUP(Q$4,Ambulance!$AY$5:$BF$19,7,FALSE),"")</f>
        <v/>
      </c>
      <c r="Z271" s="160"/>
      <c r="AA271" s="160"/>
      <c r="AB271" s="160"/>
      <c r="AC271" s="160"/>
    </row>
    <row r="272" spans="2:29" s="42" customFormat="1" ht="10.5" customHeight="1" x14ac:dyDescent="0.35">
      <c r="B272" s="162"/>
      <c r="C272" s="11"/>
      <c r="D272" s="69"/>
      <c r="E272" s="69"/>
      <c r="F272" s="69"/>
      <c r="G272" s="69"/>
      <c r="H272" s="69"/>
      <c r="I272" s="69"/>
      <c r="J272" s="69"/>
      <c r="K272" s="69"/>
      <c r="L272" s="69"/>
      <c r="M272" s="69"/>
      <c r="N272" s="69"/>
      <c r="O272" s="69"/>
      <c r="P272" s="69"/>
      <c r="Q272" s="69"/>
      <c r="Z272" s="160"/>
      <c r="AA272" s="160"/>
      <c r="AB272" s="160"/>
      <c r="AC272" s="160"/>
    </row>
    <row r="273" spans="2:29" x14ac:dyDescent="0.35">
      <c r="B273" s="162"/>
      <c r="C273" s="39" t="s">
        <v>22</v>
      </c>
      <c r="D273" s="119">
        <v>1.9892892317793828E-2</v>
      </c>
      <c r="E273" s="119">
        <v>1.5485438909891571E-2</v>
      </c>
      <c r="F273" s="119">
        <v>1.7599983853225823E-2</v>
      </c>
      <c r="G273" s="119">
        <v>1.8455766670700716E-2</v>
      </c>
      <c r="H273" s="119">
        <v>2.9289154381112126E-2</v>
      </c>
      <c r="I273" s="119">
        <v>2.804022237749491E-2</v>
      </c>
      <c r="J273" s="119">
        <v>2.3868329626858788E-2</v>
      </c>
      <c r="K273" s="119">
        <v>2.5999999999999999E-2</v>
      </c>
      <c r="L273" s="119">
        <v>2.6849006351157549E-2</v>
      </c>
      <c r="M273" s="119">
        <v>3.0728911384301446E-2</v>
      </c>
      <c r="N273" s="119">
        <v>2.4888789356352494E-2</v>
      </c>
      <c r="O273" s="119">
        <v>2.2353052293549096E-2</v>
      </c>
      <c r="P273" s="119">
        <v>1.8184334642860945E-2</v>
      </c>
      <c r="Z273" s="160"/>
      <c r="AA273" s="160"/>
      <c r="AB273" s="160"/>
      <c r="AC273" s="160"/>
    </row>
    <row r="274" spans="2:29" x14ac:dyDescent="0.35">
      <c r="B274" s="162"/>
      <c r="C274" s="1" t="s">
        <v>252</v>
      </c>
      <c r="D274" s="7">
        <v>3.1749043733583678E-2</v>
      </c>
      <c r="E274" s="7">
        <v>4.4708777686628384E-2</v>
      </c>
      <c r="F274" s="7">
        <v>4.9462749296221402E-2</v>
      </c>
      <c r="G274" s="7">
        <v>3.6506422614095251E-2</v>
      </c>
      <c r="H274" s="7">
        <v>5.3962950809891719E-2</v>
      </c>
      <c r="I274" s="7">
        <v>4.3859282625498756E-2</v>
      </c>
      <c r="J274" s="7">
        <v>2.7287540206534618E-2</v>
      </c>
      <c r="K274" s="7">
        <v>2.0383987364062283E-2</v>
      </c>
      <c r="L274" s="7">
        <v>3.035671733026658E-2</v>
      </c>
      <c r="M274" s="7">
        <v>2.4111648108326767E-2</v>
      </c>
      <c r="N274" s="7">
        <v>2.2643106549571475E-2</v>
      </c>
      <c r="O274" s="7">
        <v>2.096263457884737E-2</v>
      </c>
      <c r="P274" s="7">
        <v>2.56727102286043E-2</v>
      </c>
      <c r="Z274" s="160"/>
      <c r="AA274" s="160"/>
      <c r="AB274" s="160"/>
      <c r="AC274" s="160"/>
    </row>
    <row r="275" spans="2:29" ht="7.5" customHeight="1" x14ac:dyDescent="0.35">
      <c r="B275" s="162"/>
      <c r="Z275" s="160"/>
      <c r="AA275" s="160"/>
      <c r="AB275" s="160"/>
      <c r="AC275" s="160"/>
    </row>
    <row r="276" spans="2:29" x14ac:dyDescent="0.35">
      <c r="B276" s="162"/>
      <c r="C276" s="16" t="s">
        <v>294</v>
      </c>
      <c r="D276" s="63">
        <f>IFERROR(VLOOKUP(D$4,Ambulance!$AY$22:$BG$35,2,FALSE),"")</f>
        <v>2.7201684863936152E-2</v>
      </c>
      <c r="E276" s="63">
        <f>IFERROR(VLOOKUP(E$4,Ambulance!$AY$22:$BG$35,2,FALSE),"")</f>
        <v>4.7505754249291786E-2</v>
      </c>
      <c r="F276" s="63">
        <f>IFERROR(VLOOKUP(F$4,Ambulance!$AY$22:$BG$35,2,FALSE),"")</f>
        <v>4.7257450321826946E-2</v>
      </c>
      <c r="G276" s="63">
        <f>IFERROR(VLOOKUP(G$4,Ambulance!$AY$22:$BG$35,2,FALSE),"")</f>
        <v>2.954952871103915E-2</v>
      </c>
      <c r="H276" s="63">
        <f>IFERROR(VLOOKUP(H$4,Ambulance!$AY$22:$BG$35,2,FALSE),"")</f>
        <v>5.8245621721082552E-2</v>
      </c>
      <c r="I276" s="63">
        <f>IFERROR(VLOOKUP(I$4,Ambulance!$AY$22:$BG$35,2,FALSE),"")</f>
        <v>6.4062935762759135E-2</v>
      </c>
      <c r="J276" s="63">
        <f>IFERROR(VLOOKUP(J$4,Ambulance!$AY$22:$BG$35,2,FALSE),"")</f>
        <v>3.8733294596165022E-2</v>
      </c>
      <c r="K276" s="63">
        <f>IFERROR(VLOOKUP(K$4,Ambulance!$AY$22:$BG$35,2,FALSE),"")</f>
        <v>3.6976133893475399E-2</v>
      </c>
      <c r="L276" s="63">
        <f>IFERROR(VLOOKUP(L$4,Ambulance!$AY$22:$BG$35,2,FALSE),"")</f>
        <v>2.6401038433320166E-2</v>
      </c>
      <c r="M276" s="63">
        <f>IFERROR(VLOOKUP(M$4,Ambulance!$AY$22:$BG$35,2,FALSE),"")</f>
        <v>1.9074195289443163E-2</v>
      </c>
      <c r="N276" s="63">
        <f>IFERROR(VLOOKUP(N$4,Ambulance!$AY$22:$BG$35,2,FALSE),"")</f>
        <v>1.0443618572705461E-2</v>
      </c>
      <c r="O276" s="63">
        <f>IFERROR(VLOOKUP(O$4,Ambulance!$AY$22:$BG$35,2,FALSE),"")</f>
        <v>2.1256369725977428E-2</v>
      </c>
      <c r="P276" s="63">
        <f>IFERROR(VLOOKUP(P$4,Ambulance!$AY$22:$BG$35,2,FALSE),"")</f>
        <v>1.8098211751348282E-2</v>
      </c>
      <c r="Q276" s="94" t="str">
        <f>IFERROR(VLOOKUP(Q$4,Ambulance!$AY$22:$BF$36,2,FALSE),"")</f>
        <v/>
      </c>
      <c r="Z276" s="160"/>
      <c r="AA276" s="160"/>
      <c r="AB276" s="160"/>
      <c r="AC276" s="160"/>
    </row>
    <row r="277" spans="2:29" x14ac:dyDescent="0.35">
      <c r="B277" s="162"/>
      <c r="C277" s="1" t="s">
        <v>1</v>
      </c>
      <c r="D277" s="137">
        <f>IFERROR(VLOOKUP(D$4,Ambulance!$AY$22:$BG$35,3,FALSE),"")</f>
        <v>9.5413344237715528E-3</v>
      </c>
      <c r="E277" s="137">
        <f>IFERROR(VLOOKUP(E$4,Ambulance!$AY$22:$BG$35,3,FALSE),"")</f>
        <v>2.7145599122566495E-2</v>
      </c>
      <c r="F277" s="137">
        <f>IFERROR(VLOOKUP(F$4,Ambulance!$AY$22:$BG$35,3,FALSE),"")</f>
        <v>3.7473926490685462E-2</v>
      </c>
      <c r="G277" s="137">
        <f>IFERROR(VLOOKUP(G$4,Ambulance!$AY$22:$BG$35,3,FALSE),"")</f>
        <v>3.8913534127169427E-2</v>
      </c>
      <c r="H277" s="137">
        <f>IFERROR(VLOOKUP(H$4,Ambulance!$AY$22:$BG$35,3,FALSE),"")</f>
        <v>6.2383745886392901E-2</v>
      </c>
      <c r="I277" s="137">
        <f>IFERROR(VLOOKUP(I$4,Ambulance!$AY$22:$BG$35,3,FALSE),"")</f>
        <v>6.3923756392375644E-2</v>
      </c>
      <c r="J277" s="137">
        <f>IFERROR(VLOOKUP(J$4,Ambulance!$AY$22:$BG$35,3,FALSE),"")</f>
        <v>2.0499963129562718E-2</v>
      </c>
      <c r="K277" s="137">
        <f>IFERROR(VLOOKUP(K$4,Ambulance!$AY$22:$BG$35,3,FALSE),"")</f>
        <v>2.1822576059141313E-2</v>
      </c>
      <c r="L277" s="137">
        <f>IFERROR(VLOOKUP(L$4,Ambulance!$AY$22:$BG$35,3,FALSE),"")</f>
        <v>1.4170185357475131E-2</v>
      </c>
      <c r="M277" s="137">
        <f>IFERROR(VLOOKUP(M$4,Ambulance!$AY$22:$BG$35,3,FALSE),"")</f>
        <v>6.0651441407712468E-3</v>
      </c>
      <c r="N277" s="137">
        <f>IFERROR(VLOOKUP(N$4,Ambulance!$AY$22:$BG$35,3,FALSE),"")</f>
        <v>3.167735455458549E-3</v>
      </c>
      <c r="O277" s="137">
        <f>IFERROR(VLOOKUP(O$4,Ambulance!$AY$22:$BG$35,3,FALSE),"")</f>
        <v>3.9930303470306376E-3</v>
      </c>
      <c r="P277" s="137">
        <f>IFERROR(VLOOKUP(P$4,Ambulance!$AY$22:$BG$35,3,FALSE),"")</f>
        <v>3.3395176252319111E-3</v>
      </c>
      <c r="Q277" s="69" t="str">
        <f>IFERROR(VLOOKUP(Q$4,Ambulance!$AY$22:$BF$36,3,FALSE),"")</f>
        <v/>
      </c>
      <c r="Z277" s="160"/>
      <c r="AA277" s="160"/>
      <c r="AB277" s="160"/>
      <c r="AC277" s="160"/>
    </row>
    <row r="278" spans="2:29" x14ac:dyDescent="0.35">
      <c r="B278" s="162"/>
      <c r="C278" s="1" t="s">
        <v>226</v>
      </c>
      <c r="D278" s="137">
        <f>IFERROR(VLOOKUP(D$4,Ambulance!$AY$22:$BG$35,4,FALSE),"")</f>
        <v>3.7406757349714784E-2</v>
      </c>
      <c r="E278" s="137">
        <f>IFERROR(VLOOKUP(E$4,Ambulance!$AY$22:$BG$35,4,FALSE),"")</f>
        <v>6.4464717520334142E-2</v>
      </c>
      <c r="F278" s="137">
        <f>IFERROR(VLOOKUP(F$4,Ambulance!$AY$22:$BG$35,4,FALSE),"")</f>
        <v>5.8787575707062285E-2</v>
      </c>
      <c r="G278" s="137">
        <f>IFERROR(VLOOKUP(G$4,Ambulance!$AY$22:$BG$35,4,FALSE),"")</f>
        <v>3.2318000112606271E-2</v>
      </c>
      <c r="H278" s="137">
        <f>IFERROR(VLOOKUP(H$4,Ambulance!$AY$22:$BG$35,4,FALSE),"")</f>
        <v>7.0401829467494279E-2</v>
      </c>
      <c r="I278" s="137">
        <f>IFERROR(VLOOKUP(I$4,Ambulance!$AY$22:$BG$35,4,FALSE),"")</f>
        <v>8.5072774455601935E-2</v>
      </c>
      <c r="J278" s="137">
        <f>IFERROR(VLOOKUP(J$4,Ambulance!$AY$22:$BG$35,4,FALSE),"")</f>
        <v>6.0427002619989963E-2</v>
      </c>
      <c r="K278" s="137">
        <f>IFERROR(VLOOKUP(K$4,Ambulance!$AY$22:$BG$35,4,FALSE),"")</f>
        <v>6.0090764940674724E-2</v>
      </c>
      <c r="L278" s="137">
        <f>IFERROR(VLOOKUP(L$4,Ambulance!$AY$22:$BG$35,4,FALSE),"")</f>
        <v>4.3359679394411668E-2</v>
      </c>
      <c r="M278" s="137">
        <f>IFERROR(VLOOKUP(M$4,Ambulance!$AY$22:$BG$35,4,FALSE),"")</f>
        <v>2.1700223713646532E-2</v>
      </c>
      <c r="N278" s="137">
        <f>IFERROR(VLOOKUP(N$4,Ambulance!$AY$22:$BG$35,4,FALSE),"")</f>
        <v>1.0910735485329866E-2</v>
      </c>
      <c r="O278" s="137">
        <f>IFERROR(VLOOKUP(O$4,Ambulance!$AY$22:$BG$35,4,FALSE),"")</f>
        <v>3.1659447029252899E-2</v>
      </c>
      <c r="P278" s="137">
        <f>IFERROR(VLOOKUP(P$4,Ambulance!$AY$22:$BG$35,4,FALSE),"")</f>
        <v>2.9462163506716047E-2</v>
      </c>
      <c r="Q278" s="69" t="str">
        <f>IFERROR(VLOOKUP(Q$4,Ambulance!$AY$22:$BF$36,4,FALSE),"")</f>
        <v/>
      </c>
      <c r="Z278" s="160"/>
      <c r="AA278" s="160"/>
      <c r="AB278" s="160"/>
      <c r="AC278" s="160"/>
    </row>
    <row r="279" spans="2:29" x14ac:dyDescent="0.35">
      <c r="B279" s="162"/>
      <c r="C279" s="1" t="s">
        <v>253</v>
      </c>
      <c r="D279" s="137">
        <f>IFERROR(VLOOKUP(D$4,Ambulance!$AY$22:$BG$35,8,FALSE),"")</f>
        <v>5.5861365953109074E-2</v>
      </c>
      <c r="E279" s="137">
        <f>IFERROR(VLOOKUP(E$4,Ambulance!$AY$22:$BG$35,8,FALSE),"")</f>
        <v>9.2085312847467904E-2</v>
      </c>
      <c r="F279" s="137">
        <f>IFERROR(VLOOKUP(F$4,Ambulance!$AY$22:$BG$35,8,FALSE),"")</f>
        <v>9.7032549543074234E-2</v>
      </c>
      <c r="G279" s="137">
        <f>IFERROR(VLOOKUP(G$4,Ambulance!$AY$22:$BG$35,8,FALSE),"")</f>
        <v>5.479597244303127E-2</v>
      </c>
      <c r="H279" s="137">
        <f>IFERROR(VLOOKUP(H$4,Ambulance!$AY$22:$BG$35,8,FALSE),"")</f>
        <v>9.4268934791413531E-2</v>
      </c>
      <c r="I279" s="137">
        <f>IFERROR(VLOOKUP(I$4,Ambulance!$AY$22:$BG$35,8,FALSE),"")</f>
        <v>9.5320064550833777E-2</v>
      </c>
      <c r="J279" s="137">
        <f>IFERROR(VLOOKUP(J$4,Ambulance!$AY$22:$BG$35,8,FALSE),"")</f>
        <v>6.2520602131633893E-2</v>
      </c>
      <c r="K279" s="137">
        <f>IFERROR(VLOOKUP(K$4,Ambulance!$AY$22:$BG$35,8,FALSE),"")</f>
        <v>5.6489361702127656E-2</v>
      </c>
      <c r="L279" s="137">
        <f>IFERROR(VLOOKUP(L$4,Ambulance!$AY$22:$BG$35,8,FALSE),"")</f>
        <v>4.9516162240065886E-2</v>
      </c>
      <c r="M279" s="137">
        <f>IFERROR(VLOOKUP(M$4,Ambulance!$AY$22:$BG$35,8,FALSE),"")</f>
        <v>3.9674253497598663E-2</v>
      </c>
      <c r="N279" s="137">
        <f>IFERROR(VLOOKUP(N$4,Ambulance!$AY$22:$BG$35,8,FALSE),"")</f>
        <v>1.7540129690655895E-2</v>
      </c>
      <c r="O279" s="137">
        <f>IFERROR(VLOOKUP(O$4,Ambulance!$AY$22:$BG$35,8,FALSE),"")</f>
        <v>1.5096980603879224E-2</v>
      </c>
      <c r="P279" s="137">
        <f>IFERROR(VLOOKUP(P$4,Ambulance!$AY$22:$BG$35,8,FALSE),"")</f>
        <v>2.9491738130098307E-2</v>
      </c>
      <c r="Q279" s="69"/>
      <c r="Z279" s="160"/>
      <c r="AA279" s="160"/>
      <c r="AB279" s="160"/>
      <c r="AC279" s="160"/>
    </row>
    <row r="280" spans="2:29" x14ac:dyDescent="0.35">
      <c r="B280" s="162"/>
      <c r="C280" s="1" t="s">
        <v>254</v>
      </c>
      <c r="D280" s="137">
        <f>IFERROR(VLOOKUP(D$4,Ambulance!$AY$22:$BG$35,5,FALSE),"")</f>
        <v>1.7444395987788922E-2</v>
      </c>
      <c r="E280" s="137">
        <f>IFERROR(VLOOKUP(E$4,Ambulance!$AY$22:$BG$35,5,FALSE),"")</f>
        <v>2.1979621542940319E-2</v>
      </c>
      <c r="F280" s="137">
        <f>IFERROR(VLOOKUP(F$4,Ambulance!$AY$22:$BG$35,5,FALSE),"")</f>
        <v>2.4608982637394174E-2</v>
      </c>
      <c r="G280" s="137">
        <f>IFERROR(VLOOKUP(G$4,Ambulance!$AY$22:$BG$35,5,FALSE),"")</f>
        <v>1.1195431662784581E-2</v>
      </c>
      <c r="H280" s="137">
        <f>IFERROR(VLOOKUP(H$4,Ambulance!$AY$22:$BG$35,5,FALSE),"")</f>
        <v>3.4314068069047451E-2</v>
      </c>
      <c r="I280" s="137">
        <f>IFERROR(VLOOKUP(I$4,Ambulance!$AY$22:$BG$35,5,FALSE),"")</f>
        <v>3.1951003541912631E-2</v>
      </c>
      <c r="J280" s="137">
        <f>IFERROR(VLOOKUP(J$4,Ambulance!$AY$22:$BG$35,5,FALSE),"")</f>
        <v>9.3628682347567938E-3</v>
      </c>
      <c r="K280" s="137">
        <f>IFERROR(VLOOKUP(K$4,Ambulance!$AY$22:$BG$35,5,FALSE),"")</f>
        <v>1.8728222996515678E-2</v>
      </c>
      <c r="L280" s="137">
        <f>IFERROR(VLOOKUP(L$4,Ambulance!$AY$22:$BG$35,5,FALSE),"")</f>
        <v>1.8822647169103861E-2</v>
      </c>
      <c r="M280" s="137">
        <f>IFERROR(VLOOKUP(M$4,Ambulance!$AY$22:$BG$35,5,FALSE),"")</f>
        <v>1.2570995834911019E-2</v>
      </c>
      <c r="N280" s="137">
        <f>IFERROR(VLOOKUP(N$4,Ambulance!$AY$22:$BG$35,5,FALSE),"")</f>
        <v>1.1932633486896761E-2</v>
      </c>
      <c r="O280" s="137">
        <f>IFERROR(VLOOKUP(O$4,Ambulance!$AY$22:$BG$35,5,FALSE),"")</f>
        <v>2.1594088528588851E-2</v>
      </c>
      <c r="P280" s="137">
        <f>IFERROR(VLOOKUP(P$4,Ambulance!$AY$22:$BG$35,5,FALSE),"")</f>
        <v>2.0126806251843113E-2</v>
      </c>
      <c r="Q280" s="69"/>
      <c r="Z280" s="160"/>
      <c r="AA280" s="160"/>
      <c r="AB280" s="160"/>
      <c r="AC280" s="160"/>
    </row>
    <row r="281" spans="2:29" x14ac:dyDescent="0.35">
      <c r="B281" s="162"/>
      <c r="C281" s="1" t="s">
        <v>256</v>
      </c>
      <c r="D281" s="137">
        <f>IFERROR(VLOOKUP(D$4,Ambulance!$AY$22:$BG$35,9,FALSE),"")</f>
        <v>1.7737213707594283E-2</v>
      </c>
      <c r="E281" s="137">
        <f>IFERROR(VLOOKUP(E$4,Ambulance!$AY$22:$BG$35,9,FALSE),"")</f>
        <v>1.6639505961060126E-2</v>
      </c>
      <c r="F281" s="137">
        <f>IFERROR(VLOOKUP(F$4,Ambulance!$AY$22:$BG$35,9,FALSE),"")</f>
        <v>2.1789088433058133E-2</v>
      </c>
      <c r="G281" s="137">
        <f>IFERROR(VLOOKUP(G$4,Ambulance!$AY$22:$BG$35,9,FALSE),"")</f>
        <v>1.1271454188369908E-2</v>
      </c>
      <c r="H281" s="137">
        <f>IFERROR(VLOOKUP(H$4,Ambulance!$AY$22:$BG$35,9,FALSE),"")</f>
        <v>2.575516693163752E-2</v>
      </c>
      <c r="I281" s="137">
        <f>IFERROR(VLOOKUP(I$4,Ambulance!$AY$22:$BG$35,9,FALSE),"")</f>
        <v>2.64137871308565E-2</v>
      </c>
      <c r="J281" s="137">
        <f>IFERROR(VLOOKUP(J$4,Ambulance!$AY$22:$BG$35,9,FALSE),"")</f>
        <v>1.8279944289693595E-2</v>
      </c>
      <c r="K281" s="137">
        <f>IFERROR(VLOOKUP(K$4,Ambulance!$AY$22:$BG$35,9,FALSE),"")</f>
        <v>2.4916229916659507E-2</v>
      </c>
      <c r="L281" s="137">
        <f>IFERROR(VLOOKUP(L$4,Ambulance!$AY$22:$BG$35,9,FALSE),"")</f>
        <v>1.4929107589658049E-2</v>
      </c>
      <c r="M281" s="137">
        <f>IFERROR(VLOOKUP(M$4,Ambulance!$AY$22:$BG$35,9,FALSE),"")</f>
        <v>6.1776061776061776E-3</v>
      </c>
      <c r="N281" s="137">
        <f>IFERROR(VLOOKUP(N$4,Ambulance!$AY$22:$BG$35,9,FALSE),"")</f>
        <v>3.8506313244380764E-3</v>
      </c>
      <c r="O281" s="137">
        <f>IFERROR(VLOOKUP(O$4,Ambulance!$AY$22:$BG$35,9,FALSE),"")</f>
        <v>7.0204763894692853E-3</v>
      </c>
      <c r="P281" s="137">
        <f>IFERROR(VLOOKUP(P$4,Ambulance!$AY$22:$BG$35,9,FALSE),"")</f>
        <v>6.1442639508458886E-3</v>
      </c>
      <c r="Q281" s="69" t="str">
        <f>IFERROR(VLOOKUP(Q$4,Ambulance!$AY$22:$BF$36,5,FALSE),"")</f>
        <v/>
      </c>
      <c r="Z281" s="160"/>
      <c r="AA281" s="160"/>
      <c r="AB281" s="160"/>
      <c r="AC281" s="160"/>
    </row>
    <row r="282" spans="2:29" x14ac:dyDescent="0.35">
      <c r="B282" s="162"/>
      <c r="C282" s="1" t="s">
        <v>227</v>
      </c>
      <c r="D282" s="137">
        <f>IFERROR(VLOOKUP(D$4,Ambulance!$AY$22:$BG$35,6,FALSE),"")</f>
        <v>2.3805947732051667E-2</v>
      </c>
      <c r="E282" s="137">
        <f>IFERROR(VLOOKUP(E$4,Ambulance!$AY$22:$BG$35,6,FALSE),"")</f>
        <v>4.5557741789011653E-2</v>
      </c>
      <c r="F282" s="137">
        <f>IFERROR(VLOOKUP(F$4,Ambulance!$AY$22:$BG$35,6,FALSE),"")</f>
        <v>4.6122734697052192E-2</v>
      </c>
      <c r="G282" s="137">
        <f>IFERROR(VLOOKUP(G$4,Ambulance!$AY$22:$BG$35,6,FALSE),"")</f>
        <v>4.0873416737897274E-2</v>
      </c>
      <c r="H282" s="137">
        <f>IFERROR(VLOOKUP(H$4,Ambulance!$AY$22:$BG$35,6,FALSE),"")</f>
        <v>5.544688534456816E-2</v>
      </c>
      <c r="I282" s="137">
        <f>IFERROR(VLOOKUP(I$4,Ambulance!$AY$22:$BG$35,6,FALSE),"")</f>
        <v>6.6604127579737341E-2</v>
      </c>
      <c r="J282" s="137">
        <f>IFERROR(VLOOKUP(J$4,Ambulance!$AY$22:$BG$35,6,FALSE),"")</f>
        <v>3.6016781445420726E-2</v>
      </c>
      <c r="K282" s="137">
        <f>IFERROR(VLOOKUP(K$4,Ambulance!$AY$22:$BG$35,6,FALSE),"")</f>
        <v>1.8157262905162064E-2</v>
      </c>
      <c r="L282" s="137">
        <f>IFERROR(VLOOKUP(L$4,Ambulance!$AY$22:$BG$35,6,FALSE),"")</f>
        <v>1.0303810894764755E-2</v>
      </c>
      <c r="M282" s="137">
        <f>IFERROR(VLOOKUP(M$4,Ambulance!$AY$22:$BG$35,6,FALSE),"")</f>
        <v>1.0056911202931318E-2</v>
      </c>
      <c r="N282" s="137">
        <f>IFERROR(VLOOKUP(N$4,Ambulance!$AY$22:$BG$35,6,FALSE),"")</f>
        <v>2.9879673746265041E-3</v>
      </c>
      <c r="O282" s="137">
        <f>IFERROR(VLOOKUP(O$4,Ambulance!$AY$22:$BG$35,6,FALSE),"")</f>
        <v>9.856293732601008E-3</v>
      </c>
      <c r="P282" s="137">
        <f>IFERROR(VLOOKUP(P$4,Ambulance!$AY$22:$BG$35,6,FALSE),"")</f>
        <v>6.0302294619782289E-3</v>
      </c>
      <c r="Q282" s="69" t="str">
        <f>IFERROR(VLOOKUP(Q$4,Ambulance!$AY$22:$BF$36,6,FALSE),"")</f>
        <v/>
      </c>
      <c r="Z282" s="160"/>
      <c r="AA282" s="160"/>
      <c r="AB282" s="160"/>
      <c r="AC282" s="160"/>
    </row>
    <row r="283" spans="2:29" x14ac:dyDescent="0.35">
      <c r="B283" s="162"/>
      <c r="C283" s="1" t="s">
        <v>228</v>
      </c>
      <c r="D283" s="137">
        <f>IFERROR(VLOOKUP(D$4,Ambulance!$AY$22:$BG$35,7,FALSE),"")</f>
        <v>3.6427598729005903E-2</v>
      </c>
      <c r="E283" s="137">
        <f>IFERROR(VLOOKUP(E$4,Ambulance!$AY$22:$BG$35,7,FALSE),"")</f>
        <v>7.8761841815377834E-2</v>
      </c>
      <c r="F283" s="137">
        <f>IFERROR(VLOOKUP(F$4,Ambulance!$AY$22:$BG$35,7,FALSE),"")</f>
        <v>5.5542986425339363E-2</v>
      </c>
      <c r="G283" s="137">
        <f>IFERROR(VLOOKUP(G$4,Ambulance!$AY$22:$BG$35,7,FALSE),"")</f>
        <v>1.8403469698745751E-2</v>
      </c>
      <c r="H283" s="137">
        <f>IFERROR(VLOOKUP(H$4,Ambulance!$AY$22:$BG$35,7,FALSE),"")</f>
        <v>7.5263985621208715E-2</v>
      </c>
      <c r="I283" s="137">
        <f>IFERROR(VLOOKUP(I$4,Ambulance!$AY$22:$BG$35,7,FALSE),"")</f>
        <v>8.5457635348385533E-2</v>
      </c>
      <c r="J283" s="137">
        <f>IFERROR(VLOOKUP(J$4,Ambulance!$AY$22:$BG$35,7,FALSE),"")</f>
        <v>7.4960322304968866E-2</v>
      </c>
      <c r="K283" s="137">
        <f>IFERROR(VLOOKUP(K$4,Ambulance!$AY$22:$BG$35,7,FALSE),"")</f>
        <v>6.7093037287317484E-2</v>
      </c>
      <c r="L283" s="137">
        <f>IFERROR(VLOOKUP(L$4,Ambulance!$AY$22:$BG$35,7,FALSE),"")</f>
        <v>3.7419814682822523E-2</v>
      </c>
      <c r="M283" s="137">
        <f>IFERROR(VLOOKUP(M$4,Ambulance!$AY$22:$BG$35,7,FALSE),"")</f>
        <v>5.1858757720545393E-2</v>
      </c>
      <c r="N283" s="137">
        <f>IFERROR(VLOOKUP(N$4,Ambulance!$AY$22:$BG$35,7,FALSE),"")</f>
        <v>3.0617223713100758E-2</v>
      </c>
      <c r="O283" s="137">
        <f>IFERROR(VLOOKUP(O$4,Ambulance!$AY$22:$BG$35,7,FALSE),"")</f>
        <v>6.9228145958849602E-2</v>
      </c>
      <c r="P283" s="137">
        <f>IFERROR(VLOOKUP(P$4,Ambulance!$AY$22:$BG$35,7,FALSE),"")</f>
        <v>3.5612046261307685E-2</v>
      </c>
      <c r="Q283" s="69" t="str">
        <f>IFERROR(VLOOKUP(Q$4,Ambulance!$AY$22:$BF$36,7,FALSE),"")</f>
        <v/>
      </c>
      <c r="Z283" s="160"/>
      <c r="AA283" s="160"/>
      <c r="AB283" s="160"/>
      <c r="AC283" s="160"/>
    </row>
    <row r="284" spans="2:29" ht="7.5" customHeight="1" x14ac:dyDescent="0.35">
      <c r="B284" s="162"/>
      <c r="Q284" s="64"/>
      <c r="Z284" s="160"/>
      <c r="AA284" s="160"/>
      <c r="AB284" s="160"/>
      <c r="AC284" s="160"/>
    </row>
    <row r="285" spans="2:29" x14ac:dyDescent="0.35">
      <c r="B285" s="162"/>
      <c r="C285" s="11" t="s">
        <v>23</v>
      </c>
      <c r="D285" s="65">
        <f>HLOOKUP(D4,Ambulance!BL142:BY143,2,FALSE)</f>
        <v>94</v>
      </c>
      <c r="E285" s="65">
        <f>HLOOKUP(E4,Ambulance!BM142:BZ143,2,FALSE)</f>
        <v>85</v>
      </c>
      <c r="F285" s="65">
        <f>HLOOKUP(F4,Ambulance!BN142:CA143,2,FALSE)</f>
        <v>77</v>
      </c>
      <c r="G285" s="65">
        <f>HLOOKUP(G4,Ambulance!BO142:CB143,2,FALSE)</f>
        <v>83</v>
      </c>
      <c r="H285" s="65">
        <f>HLOOKUP(H4,Ambulance!BP142:CC143,2,FALSE)</f>
        <v>79</v>
      </c>
      <c r="I285" s="65">
        <f>HLOOKUP(I4,Ambulance!BQ142:CD143,2,FALSE)</f>
        <v>101</v>
      </c>
      <c r="J285" s="65">
        <f>HLOOKUP(J4,Ambulance!BR142:CE143,2,FALSE)</f>
        <v>102</v>
      </c>
      <c r="K285" s="65">
        <f>HLOOKUP(K4,Ambulance!BS142:CF143,2,FALSE)</f>
        <v>89</v>
      </c>
      <c r="L285" s="65">
        <f>HLOOKUP(L4,Ambulance!BT142:CG143,2,FALSE)</f>
        <v>104</v>
      </c>
      <c r="M285" s="65">
        <f>HLOOKUP(M4,Ambulance!BU142:CH143,2,FALSE)</f>
        <v>105</v>
      </c>
      <c r="N285" s="65">
        <f>HLOOKUP(N4,Ambulance!BV142:CI143,2,FALSE)</f>
        <v>95</v>
      </c>
      <c r="O285" s="65">
        <f>HLOOKUP(O4,Ambulance!BW142:CJ143,2,FALSE)</f>
        <v>97</v>
      </c>
      <c r="P285" s="65">
        <f>HLOOKUP(P4,Ambulance!BX142:CK143,2,FALSE)</f>
        <v>90</v>
      </c>
      <c r="Q285" s="97"/>
      <c r="Z285" s="160"/>
      <c r="AA285" s="160"/>
      <c r="AB285" s="160"/>
      <c r="AC285" s="160"/>
    </row>
    <row r="289" spans="5:16" x14ac:dyDescent="0.35">
      <c r="E289" s="3"/>
      <c r="P289" s="3"/>
    </row>
  </sheetData>
  <sheetProtection algorithmName="SHA-512" hashValue="6vXvtmno55/Ja/efHwjZu1NFFazAE6vhEs4bui+rytM6VqwwapFk/6pXMdh4YbaEaQ5h0WHgpCMUVVyn9099TQ==" saltValue="Mb7FnYy0FuRndDUUXEdmlw==" spinCount="100000" sheet="1" objects="1" selectLockedCells="1" selectUnlockedCells="1"/>
  <mergeCells count="67">
    <mergeCell ref="Z49:AC52"/>
    <mergeCell ref="B82:B115"/>
    <mergeCell ref="Z22:AC25"/>
    <mergeCell ref="N33:P33"/>
    <mergeCell ref="N47:P47"/>
    <mergeCell ref="D33:F33"/>
    <mergeCell ref="G33:J33"/>
    <mergeCell ref="K33:M33"/>
    <mergeCell ref="D47:F47"/>
    <mergeCell ref="G47:J47"/>
    <mergeCell ref="K47:M47"/>
    <mergeCell ref="Z53:AC64"/>
    <mergeCell ref="B21:B63"/>
    <mergeCell ref="B201:B223"/>
    <mergeCell ref="B225:B247"/>
    <mergeCell ref="B117:B147"/>
    <mergeCell ref="B65:B80"/>
    <mergeCell ref="N61:P61"/>
    <mergeCell ref="N131:P131"/>
    <mergeCell ref="N147:P147"/>
    <mergeCell ref="K61:M61"/>
    <mergeCell ref="D131:F131"/>
    <mergeCell ref="G131:J131"/>
    <mergeCell ref="K131:M131"/>
    <mergeCell ref="D61:F61"/>
    <mergeCell ref="G61:J61"/>
    <mergeCell ref="B149:B199"/>
    <mergeCell ref="D175:F175"/>
    <mergeCell ref="G175:J175"/>
    <mergeCell ref="Z4:AC4"/>
    <mergeCell ref="K17:M17"/>
    <mergeCell ref="K19:M19"/>
    <mergeCell ref="S4:X4"/>
    <mergeCell ref="N17:P17"/>
    <mergeCell ref="N19:P19"/>
    <mergeCell ref="B6:B19"/>
    <mergeCell ref="D17:F17"/>
    <mergeCell ref="D19:F19"/>
    <mergeCell ref="G17:J17"/>
    <mergeCell ref="G19:J19"/>
    <mergeCell ref="K175:M175"/>
    <mergeCell ref="N175:P175"/>
    <mergeCell ref="Z149:AC152"/>
    <mergeCell ref="D147:F147"/>
    <mergeCell ref="G147:J147"/>
    <mergeCell ref="K147:M147"/>
    <mergeCell ref="Z153:AC169"/>
    <mergeCell ref="D161:F161"/>
    <mergeCell ref="G161:J161"/>
    <mergeCell ref="K161:M161"/>
    <mergeCell ref="N161:P161"/>
    <mergeCell ref="Z257:AC285"/>
    <mergeCell ref="C2:AC2"/>
    <mergeCell ref="B249:B285"/>
    <mergeCell ref="Z6:AC9"/>
    <mergeCell ref="Z10:AC19"/>
    <mergeCell ref="Z65:AC68"/>
    <mergeCell ref="Z69:AC80"/>
    <mergeCell ref="Z82:AC86"/>
    <mergeCell ref="Z87:AC102"/>
    <mergeCell ref="Z117:AC120"/>
    <mergeCell ref="Z122:AC147"/>
    <mergeCell ref="Z201:AC204"/>
    <mergeCell ref="Z205:AC221"/>
    <mergeCell ref="Z225:AC228"/>
    <mergeCell ref="Z229:AC245"/>
    <mergeCell ref="Z249:AC254"/>
  </mergeCells>
  <pageMargins left="0.25" right="0.25" top="0.75" bottom="0.75" header="0.3" footer="0.3"/>
  <pageSetup paperSize="9" orientation="landscape" r:id="rId1"/>
  <ignoredErrors>
    <ignoredError sqref="D157:O157 P157"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T21"/>
  <sheetViews>
    <sheetView topLeftCell="AL1" workbookViewId="0">
      <selection activeCell="B3" sqref="B3"/>
    </sheetView>
  </sheetViews>
  <sheetFormatPr defaultRowHeight="14.5" x14ac:dyDescent="0.35"/>
  <cols>
    <col min="2" max="2" width="12.36328125" bestFit="1" customWidth="1"/>
    <col min="3" max="3" width="22.26953125" bestFit="1" customWidth="1"/>
    <col min="4" max="4" width="20.90625" bestFit="1" customWidth="1"/>
    <col min="8" max="8" width="12.36328125" bestFit="1" customWidth="1"/>
    <col min="9" max="9" width="22.26953125" bestFit="1" customWidth="1"/>
    <col min="10" max="10" width="20.90625" bestFit="1" customWidth="1"/>
    <col min="11" max="11" width="22.26953125" bestFit="1" customWidth="1"/>
    <col min="12" max="12" width="20.90625" bestFit="1" customWidth="1"/>
    <col min="13" max="13" width="22.26953125" bestFit="1" customWidth="1"/>
    <col min="14" max="14" width="20.90625" bestFit="1" customWidth="1"/>
    <col min="15" max="15" width="22.26953125" bestFit="1" customWidth="1"/>
    <col min="16" max="16" width="20.90625" bestFit="1" customWidth="1"/>
    <col min="17" max="17" width="22.26953125" bestFit="1" customWidth="1"/>
    <col min="18" max="18" width="20.90625" bestFit="1" customWidth="1"/>
    <col min="19" max="19" width="22.26953125" bestFit="1" customWidth="1"/>
    <col min="20" max="20" width="20.90625" bestFit="1" customWidth="1"/>
    <col min="21" max="21" width="22.26953125" bestFit="1" customWidth="1"/>
    <col min="22" max="22" width="20.90625" bestFit="1" customWidth="1"/>
    <col min="23" max="23" width="27.08984375" bestFit="1" customWidth="1"/>
    <col min="24" max="24" width="25.81640625" bestFit="1" customWidth="1"/>
    <col min="25" max="25" width="27.26953125" customWidth="1"/>
    <col min="39" max="39" width="12.36328125" bestFit="1" customWidth="1"/>
    <col min="40" max="40" width="22.26953125" bestFit="1" customWidth="1"/>
    <col min="41" max="41" width="20.90625" bestFit="1" customWidth="1"/>
    <col min="45" max="45" width="12.36328125" bestFit="1" customWidth="1"/>
    <col min="46" max="46" width="22.26953125" bestFit="1" customWidth="1"/>
    <col min="47" max="47" width="20.90625" bestFit="1" customWidth="1"/>
    <col min="48" max="48" width="22.26953125" bestFit="1" customWidth="1"/>
    <col min="49" max="49" width="20.90625" bestFit="1" customWidth="1"/>
    <col min="50" max="50" width="22.26953125" bestFit="1" customWidth="1"/>
    <col min="51" max="51" width="20.90625" bestFit="1" customWidth="1"/>
    <col min="52" max="52" width="22.26953125" bestFit="1" customWidth="1"/>
    <col min="53" max="53" width="20.90625" bestFit="1" customWidth="1"/>
    <col min="54" max="54" width="22.26953125" bestFit="1" customWidth="1"/>
    <col min="55" max="55" width="20.90625" bestFit="1" customWidth="1"/>
    <col min="56" max="56" width="22.26953125" bestFit="1" customWidth="1"/>
    <col min="57" max="57" width="20.90625" bestFit="1" customWidth="1"/>
    <col min="58" max="58" width="22.26953125" bestFit="1" customWidth="1"/>
    <col min="59" max="59" width="20.90625" bestFit="1" customWidth="1"/>
    <col min="60" max="60" width="27.08984375" bestFit="1" customWidth="1"/>
    <col min="61" max="61" width="25.81640625" bestFit="1" customWidth="1"/>
    <col min="62" max="62" width="27.26953125" customWidth="1"/>
  </cols>
  <sheetData>
    <row r="1" spans="1:72" s="17" customFormat="1" x14ac:dyDescent="0.35">
      <c r="A1" s="37"/>
      <c r="B1" s="43" t="s">
        <v>284</v>
      </c>
      <c r="C1" s="46"/>
      <c r="D1" s="46"/>
      <c r="E1" s="46"/>
      <c r="G1" s="37"/>
      <c r="H1" s="182" t="s">
        <v>286</v>
      </c>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16"/>
      <c r="AJ1" s="116"/>
      <c r="AK1" s="37"/>
      <c r="AL1" s="37"/>
      <c r="AM1" s="56" t="s">
        <v>268</v>
      </c>
      <c r="AN1" s="46"/>
      <c r="AO1" s="46"/>
      <c r="AP1" s="46"/>
      <c r="AQ1" s="37"/>
      <c r="AS1" s="181" t="s">
        <v>270</v>
      </c>
      <c r="AT1" s="181"/>
      <c r="AU1" s="181"/>
      <c r="AV1" s="181"/>
      <c r="AW1" s="181"/>
      <c r="AX1" s="181"/>
      <c r="AY1" s="181"/>
      <c r="AZ1" s="181"/>
      <c r="BA1" s="181"/>
      <c r="BB1" s="181"/>
      <c r="BC1" s="181"/>
      <c r="BD1" s="181"/>
      <c r="BE1" s="181"/>
      <c r="BF1" s="181"/>
      <c r="BG1" s="181"/>
      <c r="BH1" s="181"/>
      <c r="BI1" s="181"/>
      <c r="BJ1" s="181"/>
      <c r="BK1" s="181"/>
      <c r="BL1" s="181"/>
      <c r="BM1" s="181"/>
      <c r="BN1" s="181"/>
      <c r="BO1" s="181"/>
      <c r="BP1" s="181"/>
      <c r="BQ1" s="181"/>
      <c r="BR1" s="181"/>
      <c r="BS1" s="181"/>
    </row>
    <row r="3" spans="1:72" x14ac:dyDescent="0.35">
      <c r="B3" s="18" t="s">
        <v>40</v>
      </c>
      <c r="C3" t="s" vm="1">
        <v>435</v>
      </c>
      <c r="H3" s="18" t="s">
        <v>40</v>
      </c>
      <c r="I3" t="s" vm="1">
        <v>435</v>
      </c>
      <c r="AM3" s="18" t="s">
        <v>40</v>
      </c>
      <c r="AN3" t="s" vm="1">
        <v>435</v>
      </c>
      <c r="AS3" s="18" t="s">
        <v>40</v>
      </c>
      <c r="AT3" t="s" vm="1">
        <v>435</v>
      </c>
    </row>
    <row r="5" spans="1:72" x14ac:dyDescent="0.35">
      <c r="B5" s="18" t="s">
        <v>38</v>
      </c>
      <c r="C5" t="s">
        <v>190</v>
      </c>
      <c r="D5" t="s">
        <v>191</v>
      </c>
      <c r="I5" s="18" t="s">
        <v>42</v>
      </c>
      <c r="AB5" t="s">
        <v>41</v>
      </c>
      <c r="AC5" t="s">
        <v>1</v>
      </c>
      <c r="AD5" t="s">
        <v>226</v>
      </c>
      <c r="AE5" t="s">
        <v>254</v>
      </c>
      <c r="AF5" t="s">
        <v>223</v>
      </c>
      <c r="AG5" t="s">
        <v>224</v>
      </c>
      <c r="AH5" t="s">
        <v>257</v>
      </c>
      <c r="AI5" t="s">
        <v>256</v>
      </c>
      <c r="AM5" s="18" t="s">
        <v>38</v>
      </c>
      <c r="AN5" t="s">
        <v>190</v>
      </c>
      <c r="AO5" t="s">
        <v>191</v>
      </c>
      <c r="AT5" s="18" t="s">
        <v>42</v>
      </c>
      <c r="BM5" t="s">
        <v>41</v>
      </c>
      <c r="BN5" t="s">
        <v>1</v>
      </c>
      <c r="BO5" t="s">
        <v>226</v>
      </c>
      <c r="BP5" t="s">
        <v>254</v>
      </c>
      <c r="BQ5" t="s">
        <v>223</v>
      </c>
      <c r="BR5" t="s">
        <v>224</v>
      </c>
      <c r="BS5" t="s">
        <v>257</v>
      </c>
      <c r="BT5" t="s">
        <v>256</v>
      </c>
    </row>
    <row r="6" spans="1:72" x14ac:dyDescent="0.35">
      <c r="A6" s="3"/>
      <c r="B6" s="19">
        <v>1</v>
      </c>
      <c r="C6" s="2">
        <v>11073</v>
      </c>
      <c r="D6" s="2">
        <v>6830</v>
      </c>
      <c r="E6" s="3">
        <f>D6/C6</f>
        <v>0.61681567777476742</v>
      </c>
      <c r="G6" s="28"/>
      <c r="I6" t="s">
        <v>291</v>
      </c>
      <c r="K6" t="s">
        <v>1</v>
      </c>
      <c r="M6" t="s">
        <v>226</v>
      </c>
      <c r="O6" t="s">
        <v>258</v>
      </c>
      <c r="Q6" t="s">
        <v>255</v>
      </c>
      <c r="S6" t="s">
        <v>223</v>
      </c>
      <c r="U6" t="s">
        <v>224</v>
      </c>
      <c r="W6" t="s">
        <v>192</v>
      </c>
      <c r="X6" t="s">
        <v>193</v>
      </c>
      <c r="Z6" s="28"/>
      <c r="AA6" s="48" t="s">
        <v>43</v>
      </c>
      <c r="AB6" s="28">
        <f>VLOOKUP($AA6,$H$8:$X$1048576,17,FALSE)/VLOOKUP($AA6,$H$8:$X$1048576,16,FALSE)</f>
        <v>0.61681567777476742</v>
      </c>
      <c r="AC6" s="28">
        <f>VLOOKUP($AA6,$H$8:$X$1048576,5,FALSE)/VLOOKUP($AA6,$H$8:$X$1048576,4,FALSE)</f>
        <v>0.70068545316070063</v>
      </c>
      <c r="AD6" s="28">
        <f>VLOOKUP($AA6,$H$8:$X$1048576, 7,FALSE)/VLOOKUP($AA6,$H$8:$X$1048576,6,FALSE)</f>
        <v>0.62124352331606214</v>
      </c>
      <c r="AE6" s="28">
        <f>VLOOKUP($AA6,$H$8:$X$1048576,9,FALSE)/VLOOKUP($AA6,$H$8:$X$1048576,8,FALSE)</f>
        <v>0.6107784431137725</v>
      </c>
      <c r="AF6" s="28">
        <f>VLOOKUP($AA6,$H$8:$X$1048576,13,FALSE)/VLOOKUP($AA6,$H$8:$X$1048576,12,FALSE)</f>
        <v>0.58655462184873952</v>
      </c>
      <c r="AG6" s="28">
        <f>VLOOKUP($AA6,$H$8:$X$1048576,15,FALSE)/VLOOKUP($AA6,$H$8:$X$1048576,14,FALSE)</f>
        <v>0.62137681159420288</v>
      </c>
      <c r="AH6" s="28">
        <f>VLOOKUP($AA6,$H$8:$X$1048576,3,FALSE)/VLOOKUP($AA6,$H$8:$X$1048576,2,FALSE)</f>
        <v>0.54347826086956519</v>
      </c>
      <c r="AI6" s="28">
        <f>VLOOKUP($AA6,$H$8:$X$1048576,11,FALSE)/VLOOKUP($AA6,$H$8:$X$1048576,10,FALSE)</f>
        <v>0.54028021015761818</v>
      </c>
      <c r="AJ6" s="28"/>
      <c r="AK6" s="28"/>
      <c r="AL6" s="20"/>
      <c r="AM6" s="19">
        <v>1</v>
      </c>
      <c r="AN6" s="2">
        <v>11073</v>
      </c>
      <c r="AO6" s="2">
        <v>6830</v>
      </c>
      <c r="AP6" s="20">
        <f>(AN6-AO6)/4</f>
        <v>1060.75</v>
      </c>
      <c r="AQ6" s="20"/>
      <c r="AT6" t="s">
        <v>291</v>
      </c>
      <c r="AV6" t="s">
        <v>1</v>
      </c>
      <c r="AX6" t="s">
        <v>226</v>
      </c>
      <c r="AZ6" t="s">
        <v>258</v>
      </c>
      <c r="BB6" t="s">
        <v>255</v>
      </c>
      <c r="BD6" t="s">
        <v>223</v>
      </c>
      <c r="BF6" t="s">
        <v>224</v>
      </c>
      <c r="BH6" t="s">
        <v>192</v>
      </c>
      <c r="BI6" t="s">
        <v>193</v>
      </c>
      <c r="BL6" s="48" t="s">
        <v>43</v>
      </c>
      <c r="BM6" s="25">
        <f>(VLOOKUP($BL6,$AS$8:$BI$1048576,16,FALSE)-VLOOKUP($BL6,$AS$8:$BI$1048576,17,FALSE))/7</f>
        <v>606.14285714285711</v>
      </c>
      <c r="BN6" s="25">
        <f>(VLOOKUP($BL6,$AS$8:$BI$1048576,4,FALSE)-VLOOKUP($BL6,$AS$8:$BI$1048576,5,FALSE))/7</f>
        <v>112.28571428571429</v>
      </c>
      <c r="BO6" s="25">
        <f>(VLOOKUP($BL6,$AS$8:$BI$1048576,6,FALSE)-VLOOKUP($BL6,$AS$8:$BI$1048576,7,FALSE))/7</f>
        <v>104.42857142857143</v>
      </c>
      <c r="BP6" s="25">
        <f>(VLOOKUP($BL6,$AS$8:$BI$1048576,8,FALSE)-VLOOKUP($BL6,$AS$8:$BI$1048576,9,FALSE))/7</f>
        <v>74.285714285714292</v>
      </c>
      <c r="BQ6" s="25">
        <f>(VLOOKUP($BL6,$AS$8:$BI$1048576,12,FALSE)-VLOOKUP($BL6,$AS$8:$BI$1048576,13,FALSE))/7</f>
        <v>105.42857142857143</v>
      </c>
      <c r="BR6" s="25">
        <f>(VLOOKUP($BL6,$AS$8:$BI$1048576,14,FALSE)-VLOOKUP($BL6,$AS$8:$BI$1048576,15,FALSE))/7</f>
        <v>59.714285714285715</v>
      </c>
      <c r="BS6" s="25">
        <f>(VLOOKUP($BL6,$AS$8:$BI$1048576,2,FALSE)-VLOOKUP($BL6,$AS$8:$BI$1048576,3,FALSE))/7</f>
        <v>75</v>
      </c>
      <c r="BT6" s="25">
        <f t="shared" ref="BT6:BT18" si="0">(VLOOKUP($BL6,$AS$8:$BI$1048576,10,FALSE)-VLOOKUP($BL6,$AS$8:$BI$1048576,11,FALSE))/7</f>
        <v>75</v>
      </c>
    </row>
    <row r="7" spans="1:72" x14ac:dyDescent="0.35">
      <c r="A7" s="3"/>
      <c r="B7" s="19">
        <v>2</v>
      </c>
      <c r="C7" s="2">
        <v>11248</v>
      </c>
      <c r="D7" s="2">
        <v>7011</v>
      </c>
      <c r="E7" s="3">
        <f>D7/C7</f>
        <v>0.62331081081081086</v>
      </c>
      <c r="G7" s="28"/>
      <c r="H7" s="18" t="s">
        <v>38</v>
      </c>
      <c r="I7" t="s">
        <v>190</v>
      </c>
      <c r="J7" t="s">
        <v>191</v>
      </c>
      <c r="K7" t="s">
        <v>190</v>
      </c>
      <c r="L7" t="s">
        <v>191</v>
      </c>
      <c r="M7" t="s">
        <v>190</v>
      </c>
      <c r="N7" t="s">
        <v>191</v>
      </c>
      <c r="O7" t="s">
        <v>190</v>
      </c>
      <c r="P7" t="s">
        <v>191</v>
      </c>
      <c r="Q7" t="s">
        <v>190</v>
      </c>
      <c r="R7" t="s">
        <v>191</v>
      </c>
      <c r="S7" t="s">
        <v>190</v>
      </c>
      <c r="T7" t="s">
        <v>191</v>
      </c>
      <c r="U7" t="s">
        <v>190</v>
      </c>
      <c r="V7" t="s">
        <v>191</v>
      </c>
      <c r="Z7" s="28"/>
      <c r="AA7" s="48" t="s">
        <v>44</v>
      </c>
      <c r="AB7" s="28">
        <f t="shared" ref="AB7:AB18" si="1">VLOOKUP($AA7,$H$8:$X$1048576,17,FALSE)/VLOOKUP($AA7,$H$8:$X$1048576,16,FALSE)</f>
        <v>0.62331081081081086</v>
      </c>
      <c r="AC7" s="28">
        <f t="shared" ref="AC7:AC18" si="2">VLOOKUP($AA7,$H$8:$X$1048576,5,FALSE)/VLOOKUP($AA7,$H$8:$X$1048576,4,FALSE)</f>
        <v>0.69550173010380623</v>
      </c>
      <c r="AD7" s="28">
        <f t="shared" ref="AD7:AD18" si="3">VLOOKUP($AA7,$H$8:$X$1048576, 7,FALSE)/VLOOKUP($AA7,$H$8:$X$1048576,6,FALSE)</f>
        <v>0.66108374384236457</v>
      </c>
      <c r="AE7" s="28">
        <f t="shared" ref="AE7:AE18" si="4">VLOOKUP($AA7,$H$8:$X$1048576,9,FALSE)/VLOOKUP($AA7,$H$8:$X$1048576,8,FALSE)</f>
        <v>0.59914407988587737</v>
      </c>
      <c r="AF7" s="28">
        <f t="shared" ref="AF7:AF18" si="5">VLOOKUP($AA7,$H$8:$X$1048576,13,FALSE)/VLOOKUP($AA7,$H$8:$X$1048576,12,FALSE)</f>
        <v>0.55663062037564026</v>
      </c>
      <c r="AG7" s="28">
        <f t="shared" ref="AG7:AG18" si="6">VLOOKUP($AA7,$H$8:$X$1048576,15,FALSE)/VLOOKUP($AA7,$H$8:$X$1048576,14,FALSE)</f>
        <v>0.61101083032490977</v>
      </c>
      <c r="AH7" s="28">
        <f t="shared" ref="AH7:AH18" si="7">VLOOKUP($AA7,$H$8:$X$1048576,3,FALSE)/VLOOKUP($AA7,$H$8:$X$1048576,2,FALSE)</f>
        <v>0.57410562180579217</v>
      </c>
      <c r="AI7" s="28">
        <f t="shared" ref="AI7:AI18" si="8">VLOOKUP($AA7,$H$8:$X$1048576,11,FALSE)/VLOOKUP($AA7,$H$8:$X$1048576,10,FALSE)</f>
        <v>0.5875850340136054</v>
      </c>
      <c r="AJ7" s="28"/>
      <c r="AK7" s="28"/>
      <c r="AL7" s="20"/>
      <c r="AM7" s="19">
        <v>2</v>
      </c>
      <c r="AN7" s="2">
        <v>11248</v>
      </c>
      <c r="AO7" s="2">
        <v>7011</v>
      </c>
      <c r="AP7" s="20">
        <f>(AN7-AO7)/7</f>
        <v>605.28571428571433</v>
      </c>
      <c r="AQ7" s="20"/>
      <c r="AS7" s="18" t="s">
        <v>38</v>
      </c>
      <c r="AT7" t="s">
        <v>190</v>
      </c>
      <c r="AU7" t="s">
        <v>191</v>
      </c>
      <c r="AV7" t="s">
        <v>190</v>
      </c>
      <c r="AW7" t="s">
        <v>191</v>
      </c>
      <c r="AX7" t="s">
        <v>190</v>
      </c>
      <c r="AY7" t="s">
        <v>191</v>
      </c>
      <c r="AZ7" t="s">
        <v>190</v>
      </c>
      <c r="BA7" t="s">
        <v>191</v>
      </c>
      <c r="BB7" t="s">
        <v>190</v>
      </c>
      <c r="BC7" t="s">
        <v>191</v>
      </c>
      <c r="BD7" t="s">
        <v>190</v>
      </c>
      <c r="BE7" t="s">
        <v>191</v>
      </c>
      <c r="BF7" t="s">
        <v>190</v>
      </c>
      <c r="BG7" t="s">
        <v>191</v>
      </c>
      <c r="BL7" s="48" t="s">
        <v>44</v>
      </c>
      <c r="BM7" s="25">
        <f t="shared" ref="BM7:BM18" si="9">(VLOOKUP($BL7,$AS$8:$BI$1048576,16,FALSE)-VLOOKUP($BL7,$AS$8:$BI$1048576,17,FALSE))/7</f>
        <v>605.28571428571433</v>
      </c>
      <c r="BN7" s="25">
        <f t="shared" ref="BN7:BN18" si="10">(VLOOKUP($BL7,$AS$8:$BI$1048576,4,FALSE)-VLOOKUP($BL7,$AS$8:$BI$1048576,5,FALSE))/7</f>
        <v>113.14285714285714</v>
      </c>
      <c r="BO7" s="25">
        <f t="shared" ref="BO7:BO18" si="11">(VLOOKUP($BL7,$AS$8:$BI$1048576,6,FALSE)-VLOOKUP($BL7,$AS$8:$BI$1048576,7,FALSE))/7</f>
        <v>98.285714285714292</v>
      </c>
      <c r="BP7" s="25">
        <f t="shared" ref="BP7:BP18" si="12">(VLOOKUP($BL7,$AS$8:$BI$1048576,8,FALSE)-VLOOKUP($BL7,$AS$8:$BI$1048576,9,FALSE))/7</f>
        <v>80.285714285714292</v>
      </c>
      <c r="BQ7" s="25">
        <f t="shared" ref="BQ7:BQ18" si="13">(VLOOKUP($BL7,$AS$8:$BI$1048576,12,FALSE)-VLOOKUP($BL7,$AS$8:$BI$1048576,13,FALSE))/7</f>
        <v>111.28571428571429</v>
      </c>
      <c r="BR7" s="25">
        <f t="shared" ref="BR7:BR18" si="14">(VLOOKUP($BL7,$AS$8:$BI$1048576,14,FALSE)-VLOOKUP($BL7,$AS$8:$BI$1048576,15,FALSE))/7</f>
        <v>61.571428571428569</v>
      </c>
      <c r="BS7" s="25">
        <f t="shared" ref="BS7:BS18" si="15">(VLOOKUP($BL7,$AS$8:$BI$1048576,2,FALSE)-VLOOKUP($BL7,$AS$8:$BI$1048576,3,FALSE))/7</f>
        <v>71.428571428571431</v>
      </c>
      <c r="BT7" s="25">
        <f t="shared" si="0"/>
        <v>69.285714285714292</v>
      </c>
    </row>
    <row r="8" spans="1:72" x14ac:dyDescent="0.35">
      <c r="A8" s="3"/>
      <c r="B8" s="19">
        <v>3</v>
      </c>
      <c r="C8" s="2">
        <v>11141</v>
      </c>
      <c r="D8" s="2">
        <v>7242</v>
      </c>
      <c r="E8" s="3">
        <f t="shared" ref="E8:E20" si="16">D8/C8</f>
        <v>0.65003141549232568</v>
      </c>
      <c r="G8" s="28"/>
      <c r="H8" s="19" t="s">
        <v>43</v>
      </c>
      <c r="I8" s="2">
        <v>1150</v>
      </c>
      <c r="J8" s="2">
        <v>625</v>
      </c>
      <c r="K8" s="2">
        <v>2626</v>
      </c>
      <c r="L8" s="2">
        <v>1840</v>
      </c>
      <c r="M8" s="2">
        <v>1930</v>
      </c>
      <c r="N8" s="2">
        <v>1199</v>
      </c>
      <c r="O8" s="2">
        <v>1336</v>
      </c>
      <c r="P8" s="2">
        <v>816</v>
      </c>
      <c r="Q8" s="2">
        <v>1142</v>
      </c>
      <c r="R8" s="2">
        <v>617</v>
      </c>
      <c r="S8" s="2">
        <v>1785</v>
      </c>
      <c r="T8" s="2">
        <v>1047</v>
      </c>
      <c r="U8" s="2">
        <v>1104</v>
      </c>
      <c r="V8" s="2">
        <v>686</v>
      </c>
      <c r="W8" s="2">
        <v>11073</v>
      </c>
      <c r="X8" s="2">
        <v>6830</v>
      </c>
      <c r="Y8" s="2"/>
      <c r="Z8" s="28"/>
      <c r="AA8" s="48" t="s">
        <v>45</v>
      </c>
      <c r="AB8" s="28">
        <f t="shared" si="1"/>
        <v>0.65003141549232568</v>
      </c>
      <c r="AC8" s="28">
        <f t="shared" si="2"/>
        <v>0.74960629921259847</v>
      </c>
      <c r="AD8" s="28">
        <f t="shared" si="3"/>
        <v>0.68503169185763046</v>
      </c>
      <c r="AE8" s="28">
        <f t="shared" si="4"/>
        <v>0.60478607686729513</v>
      </c>
      <c r="AF8" s="28">
        <f t="shared" si="5"/>
        <v>0.57432041642567955</v>
      </c>
      <c r="AG8" s="28">
        <f t="shared" si="6"/>
        <v>0.67532467532467533</v>
      </c>
      <c r="AH8" s="28">
        <f t="shared" si="7"/>
        <v>0.57841483979763908</v>
      </c>
      <c r="AI8" s="28">
        <f t="shared" si="8"/>
        <v>0.58743633276740237</v>
      </c>
      <c r="AJ8" s="28"/>
      <c r="AK8" s="28"/>
      <c r="AL8" s="20"/>
      <c r="AM8" s="19">
        <v>3</v>
      </c>
      <c r="AN8" s="2">
        <v>11141</v>
      </c>
      <c r="AO8" s="2">
        <v>7242</v>
      </c>
      <c r="AP8" s="20">
        <f t="shared" ref="AP8:AP20" si="17">(AN8-AO8)/7</f>
        <v>557</v>
      </c>
      <c r="AQ8" s="20"/>
      <c r="AS8" s="19" t="s">
        <v>43</v>
      </c>
      <c r="AT8" s="2">
        <v>1150</v>
      </c>
      <c r="AU8" s="2">
        <v>625</v>
      </c>
      <c r="AV8" s="2">
        <v>2626</v>
      </c>
      <c r="AW8" s="2">
        <v>1840</v>
      </c>
      <c r="AX8" s="2">
        <v>1930</v>
      </c>
      <c r="AY8" s="2">
        <v>1199</v>
      </c>
      <c r="AZ8" s="2">
        <v>1336</v>
      </c>
      <c r="BA8" s="2">
        <v>816</v>
      </c>
      <c r="BB8" s="2">
        <v>1142</v>
      </c>
      <c r="BC8" s="2">
        <v>617</v>
      </c>
      <c r="BD8" s="2">
        <v>1785</v>
      </c>
      <c r="BE8" s="2">
        <v>1047</v>
      </c>
      <c r="BF8" s="2">
        <v>1104</v>
      </c>
      <c r="BG8" s="2">
        <v>686</v>
      </c>
      <c r="BH8" s="2">
        <v>11073</v>
      </c>
      <c r="BI8" s="2">
        <v>6830</v>
      </c>
      <c r="BJ8" s="2"/>
      <c r="BL8" s="48" t="s">
        <v>45</v>
      </c>
      <c r="BM8" s="25">
        <f t="shared" si="9"/>
        <v>557</v>
      </c>
      <c r="BN8" s="25">
        <f t="shared" si="10"/>
        <v>90.857142857142861</v>
      </c>
      <c r="BO8" s="25">
        <f t="shared" si="11"/>
        <v>92.285714285714292</v>
      </c>
      <c r="BP8" s="25">
        <f t="shared" si="12"/>
        <v>77.857142857142861</v>
      </c>
      <c r="BQ8" s="25">
        <f t="shared" si="13"/>
        <v>105.14285714285714</v>
      </c>
      <c r="BR8" s="25">
        <f t="shared" si="14"/>
        <v>50</v>
      </c>
      <c r="BS8" s="25">
        <f t="shared" si="15"/>
        <v>71.428571428571431</v>
      </c>
      <c r="BT8" s="25">
        <f t="shared" si="0"/>
        <v>69.428571428571431</v>
      </c>
    </row>
    <row r="9" spans="1:72" x14ac:dyDescent="0.35">
      <c r="A9" s="3"/>
      <c r="B9" s="19">
        <v>4</v>
      </c>
      <c r="C9" s="2">
        <v>10988</v>
      </c>
      <c r="D9" s="2">
        <v>7120</v>
      </c>
      <c r="E9" s="3">
        <f>D9/C9</f>
        <v>0.64797961412449945</v>
      </c>
      <c r="G9" s="28"/>
      <c r="H9" s="19" t="s">
        <v>52</v>
      </c>
      <c r="I9" s="2">
        <v>1247</v>
      </c>
      <c r="J9" s="2">
        <v>725</v>
      </c>
      <c r="K9" s="2">
        <v>2508</v>
      </c>
      <c r="L9" s="2">
        <v>1925</v>
      </c>
      <c r="M9" s="2">
        <v>1998</v>
      </c>
      <c r="N9" s="2">
        <v>1316</v>
      </c>
      <c r="O9" s="2">
        <v>1327</v>
      </c>
      <c r="P9" s="2">
        <v>688</v>
      </c>
      <c r="Q9" s="2">
        <v>1204</v>
      </c>
      <c r="R9" s="2">
        <v>723</v>
      </c>
      <c r="S9" s="2">
        <v>1824</v>
      </c>
      <c r="T9" s="2">
        <v>1052</v>
      </c>
      <c r="U9" s="2">
        <v>1078</v>
      </c>
      <c r="V9" s="2">
        <v>698</v>
      </c>
      <c r="W9" s="2">
        <v>11186</v>
      </c>
      <c r="X9" s="2">
        <v>7127</v>
      </c>
      <c r="Y9" s="2"/>
      <c r="Z9" s="28"/>
      <c r="AA9" s="48" t="s">
        <v>46</v>
      </c>
      <c r="AB9" s="28">
        <f t="shared" si="1"/>
        <v>0.64797961412449945</v>
      </c>
      <c r="AC9" s="28">
        <f t="shared" si="2"/>
        <v>0.740495867768595</v>
      </c>
      <c r="AD9" s="28">
        <f t="shared" si="3"/>
        <v>0.66325036603221088</v>
      </c>
      <c r="AE9" s="28">
        <f t="shared" si="4"/>
        <v>0.63121652639632742</v>
      </c>
      <c r="AF9" s="28">
        <f t="shared" si="5"/>
        <v>0.62321326472269867</v>
      </c>
      <c r="AG9" s="28">
        <f t="shared" si="6"/>
        <v>0.6061452513966481</v>
      </c>
      <c r="AH9" s="28">
        <f t="shared" si="7"/>
        <v>0.55433866891322658</v>
      </c>
      <c r="AI9" s="28">
        <f t="shared" si="8"/>
        <v>0.61980033277870217</v>
      </c>
      <c r="AJ9" s="28"/>
      <c r="AK9" s="28"/>
      <c r="AL9" s="20"/>
      <c r="AM9" s="19">
        <v>4</v>
      </c>
      <c r="AN9" s="2">
        <v>10988</v>
      </c>
      <c r="AO9" s="2">
        <v>7120</v>
      </c>
      <c r="AP9" s="20">
        <f t="shared" si="17"/>
        <v>552.57142857142856</v>
      </c>
      <c r="AQ9" s="20"/>
      <c r="AS9" s="19" t="s">
        <v>52</v>
      </c>
      <c r="AT9" s="2">
        <v>1247</v>
      </c>
      <c r="AU9" s="2">
        <v>725</v>
      </c>
      <c r="AV9" s="2">
        <v>2508</v>
      </c>
      <c r="AW9" s="2">
        <v>1925</v>
      </c>
      <c r="AX9" s="2">
        <v>1998</v>
      </c>
      <c r="AY9" s="2">
        <v>1316</v>
      </c>
      <c r="AZ9" s="2">
        <v>1327</v>
      </c>
      <c r="BA9" s="2">
        <v>688</v>
      </c>
      <c r="BB9" s="2">
        <v>1204</v>
      </c>
      <c r="BC9" s="2">
        <v>723</v>
      </c>
      <c r="BD9" s="2">
        <v>1824</v>
      </c>
      <c r="BE9" s="2">
        <v>1052</v>
      </c>
      <c r="BF9" s="2">
        <v>1078</v>
      </c>
      <c r="BG9" s="2">
        <v>698</v>
      </c>
      <c r="BH9" s="2">
        <v>11186</v>
      </c>
      <c r="BI9" s="2">
        <v>7127</v>
      </c>
      <c r="BJ9" s="2"/>
      <c r="BL9" s="48" t="s">
        <v>46</v>
      </c>
      <c r="BM9" s="25">
        <f t="shared" si="9"/>
        <v>552.57142857142856</v>
      </c>
      <c r="BN9" s="25">
        <f t="shared" si="10"/>
        <v>89.714285714285708</v>
      </c>
      <c r="BO9" s="25">
        <f t="shared" si="11"/>
        <v>98.571428571428569</v>
      </c>
      <c r="BP9" s="25">
        <f t="shared" si="12"/>
        <v>68.857142857142861</v>
      </c>
      <c r="BQ9" s="25">
        <f t="shared" si="13"/>
        <v>94.142857142857139</v>
      </c>
      <c r="BR9" s="25">
        <f t="shared" si="14"/>
        <v>60.428571428571431</v>
      </c>
      <c r="BS9" s="25">
        <f t="shared" si="15"/>
        <v>75.571428571428569</v>
      </c>
      <c r="BT9" s="25">
        <f t="shared" si="0"/>
        <v>65.285714285714292</v>
      </c>
    </row>
    <row r="10" spans="1:72" x14ac:dyDescent="0.35">
      <c r="A10" s="3"/>
      <c r="B10" s="19">
        <v>5</v>
      </c>
      <c r="C10" s="2">
        <v>10937</v>
      </c>
      <c r="D10" s="2">
        <v>7038</v>
      </c>
      <c r="E10" s="3">
        <f>D10/C10</f>
        <v>0.64350370302642401</v>
      </c>
      <c r="G10" s="28"/>
      <c r="H10" s="19" t="s">
        <v>53</v>
      </c>
      <c r="I10" s="2">
        <v>1255</v>
      </c>
      <c r="J10" s="2">
        <v>682</v>
      </c>
      <c r="K10" s="2">
        <v>2541</v>
      </c>
      <c r="L10" s="2">
        <v>1967</v>
      </c>
      <c r="M10" s="2">
        <v>2022</v>
      </c>
      <c r="N10" s="2">
        <v>1349</v>
      </c>
      <c r="O10" s="2">
        <v>1338</v>
      </c>
      <c r="P10" s="2">
        <v>648</v>
      </c>
      <c r="Q10" s="2">
        <v>1210</v>
      </c>
      <c r="R10" s="2">
        <v>778</v>
      </c>
      <c r="S10" s="2">
        <v>1813</v>
      </c>
      <c r="T10" s="2">
        <v>1046</v>
      </c>
      <c r="U10" s="2">
        <v>1078</v>
      </c>
      <c r="V10" s="2">
        <v>708</v>
      </c>
      <c r="W10" s="2">
        <v>11257</v>
      </c>
      <c r="X10" s="2">
        <v>7178</v>
      </c>
      <c r="Y10" s="2"/>
      <c r="Z10" s="28"/>
      <c r="AA10" s="20" t="s">
        <v>47</v>
      </c>
      <c r="AB10" s="28">
        <f t="shared" si="1"/>
        <v>0.64350370302642401</v>
      </c>
      <c r="AC10" s="28">
        <f t="shared" si="2"/>
        <v>0.76658374792703154</v>
      </c>
      <c r="AD10" s="28">
        <f t="shared" si="3"/>
        <v>0.69431643625192008</v>
      </c>
      <c r="AE10" s="28">
        <f t="shared" si="4"/>
        <v>0.59121370067014145</v>
      </c>
      <c r="AF10" s="28">
        <f t="shared" si="5"/>
        <v>0.59678345778288344</v>
      </c>
      <c r="AG10" s="28">
        <f t="shared" si="6"/>
        <v>0.61224489795918369</v>
      </c>
      <c r="AH10" s="28">
        <f t="shared" si="7"/>
        <v>0.54259718775847809</v>
      </c>
      <c r="AI10" s="28">
        <f t="shared" si="8"/>
        <v>0.56952539550374692</v>
      </c>
      <c r="AJ10" s="28"/>
      <c r="AK10" s="28"/>
      <c r="AL10" s="20"/>
      <c r="AM10" s="19">
        <v>5</v>
      </c>
      <c r="AN10" s="2">
        <v>10937</v>
      </c>
      <c r="AO10" s="2">
        <v>7038</v>
      </c>
      <c r="AP10" s="20">
        <f t="shared" si="17"/>
        <v>557</v>
      </c>
      <c r="AQ10" s="20"/>
      <c r="AS10" s="19" t="s">
        <v>53</v>
      </c>
      <c r="AT10" s="2">
        <v>1255</v>
      </c>
      <c r="AU10" s="2">
        <v>682</v>
      </c>
      <c r="AV10" s="2">
        <v>2541</v>
      </c>
      <c r="AW10" s="2">
        <v>1967</v>
      </c>
      <c r="AX10" s="2">
        <v>2022</v>
      </c>
      <c r="AY10" s="2">
        <v>1349</v>
      </c>
      <c r="AZ10" s="2">
        <v>1338</v>
      </c>
      <c r="BA10" s="2">
        <v>648</v>
      </c>
      <c r="BB10" s="2">
        <v>1210</v>
      </c>
      <c r="BC10" s="2">
        <v>778</v>
      </c>
      <c r="BD10" s="2">
        <v>1813</v>
      </c>
      <c r="BE10" s="2">
        <v>1046</v>
      </c>
      <c r="BF10" s="2">
        <v>1078</v>
      </c>
      <c r="BG10" s="2">
        <v>708</v>
      </c>
      <c r="BH10" s="2">
        <v>11257</v>
      </c>
      <c r="BI10" s="2">
        <v>7178</v>
      </c>
      <c r="BJ10" s="2"/>
      <c r="BL10" s="20" t="s">
        <v>47</v>
      </c>
      <c r="BM10" s="25">
        <f t="shared" si="9"/>
        <v>557</v>
      </c>
      <c r="BN10" s="25">
        <f t="shared" si="10"/>
        <v>80.428571428571431</v>
      </c>
      <c r="BO10" s="25">
        <f t="shared" si="11"/>
        <v>85.285714285714292</v>
      </c>
      <c r="BP10" s="25">
        <f t="shared" si="12"/>
        <v>78.428571428571431</v>
      </c>
      <c r="BQ10" s="25">
        <f t="shared" si="13"/>
        <v>100.28571428571429</v>
      </c>
      <c r="BR10" s="25">
        <f t="shared" si="14"/>
        <v>59.714285714285715</v>
      </c>
      <c r="BS10" s="25">
        <f t="shared" si="15"/>
        <v>79</v>
      </c>
      <c r="BT10" s="25">
        <f t="shared" si="0"/>
        <v>73.857142857142861</v>
      </c>
    </row>
    <row r="11" spans="1:72" x14ac:dyDescent="0.35">
      <c r="A11" s="3"/>
      <c r="B11" s="19">
        <v>6</v>
      </c>
      <c r="C11" s="2">
        <v>10926</v>
      </c>
      <c r="D11" s="2">
        <v>7174</v>
      </c>
      <c r="E11" s="3">
        <f>D11/C11</f>
        <v>0.65659893831228267</v>
      </c>
      <c r="G11" s="28"/>
      <c r="H11" s="19" t="s">
        <v>54</v>
      </c>
      <c r="I11" s="2">
        <v>1254</v>
      </c>
      <c r="J11" s="2">
        <v>736</v>
      </c>
      <c r="K11" s="2">
        <v>2578</v>
      </c>
      <c r="L11" s="2">
        <v>1931</v>
      </c>
      <c r="M11" s="2">
        <v>2041</v>
      </c>
      <c r="N11" s="2">
        <v>1277</v>
      </c>
      <c r="O11" s="2">
        <v>1373</v>
      </c>
      <c r="P11" s="2">
        <v>743</v>
      </c>
      <c r="Q11" s="2">
        <v>1210</v>
      </c>
      <c r="R11" s="2">
        <v>800</v>
      </c>
      <c r="S11" s="2">
        <v>1855</v>
      </c>
      <c r="T11" s="2">
        <v>1049</v>
      </c>
      <c r="U11" s="2">
        <v>1078</v>
      </c>
      <c r="V11" s="2">
        <v>767</v>
      </c>
      <c r="W11" s="2">
        <v>11389</v>
      </c>
      <c r="X11" s="2">
        <v>7303</v>
      </c>
      <c r="Y11" s="2"/>
      <c r="Z11" s="28"/>
      <c r="AA11" s="20" t="s">
        <v>48</v>
      </c>
      <c r="AB11" s="28">
        <f t="shared" si="1"/>
        <v>0.65659893831228267</v>
      </c>
      <c r="AC11" s="28">
        <f t="shared" si="2"/>
        <v>0.79667359667359672</v>
      </c>
      <c r="AD11" s="28">
        <f t="shared" si="3"/>
        <v>0.67991739803820339</v>
      </c>
      <c r="AE11" s="28">
        <f t="shared" si="4"/>
        <v>0.60059171597633132</v>
      </c>
      <c r="AF11" s="28">
        <f t="shared" si="5"/>
        <v>0.59942857142857142</v>
      </c>
      <c r="AG11" s="28">
        <f t="shared" si="6"/>
        <v>0.66233766233766234</v>
      </c>
      <c r="AH11" s="28">
        <f t="shared" si="7"/>
        <v>0.59367194004995838</v>
      </c>
      <c r="AI11" s="28">
        <f t="shared" si="8"/>
        <v>0.54280964256026598</v>
      </c>
      <c r="AJ11" s="28"/>
      <c r="AK11" s="28"/>
      <c r="AL11" s="20"/>
      <c r="AM11" s="19">
        <v>6</v>
      </c>
      <c r="AN11" s="2">
        <v>10926</v>
      </c>
      <c r="AO11" s="2">
        <v>7174</v>
      </c>
      <c r="AP11" s="20">
        <f>(AN11-AO11)/7</f>
        <v>536</v>
      </c>
      <c r="AQ11" s="20"/>
      <c r="AS11" s="19" t="s">
        <v>54</v>
      </c>
      <c r="AT11" s="2">
        <v>1254</v>
      </c>
      <c r="AU11" s="2">
        <v>736</v>
      </c>
      <c r="AV11" s="2">
        <v>2578</v>
      </c>
      <c r="AW11" s="2">
        <v>1931</v>
      </c>
      <c r="AX11" s="2">
        <v>2041</v>
      </c>
      <c r="AY11" s="2">
        <v>1277</v>
      </c>
      <c r="AZ11" s="2">
        <v>1373</v>
      </c>
      <c r="BA11" s="2">
        <v>743</v>
      </c>
      <c r="BB11" s="2">
        <v>1210</v>
      </c>
      <c r="BC11" s="2">
        <v>800</v>
      </c>
      <c r="BD11" s="2">
        <v>1855</v>
      </c>
      <c r="BE11" s="2">
        <v>1049</v>
      </c>
      <c r="BF11" s="2">
        <v>1078</v>
      </c>
      <c r="BG11" s="2">
        <v>767</v>
      </c>
      <c r="BH11" s="2">
        <v>11389</v>
      </c>
      <c r="BI11" s="2">
        <v>7303</v>
      </c>
      <c r="BJ11" s="2"/>
      <c r="BL11" s="20" t="s">
        <v>48</v>
      </c>
      <c r="BM11" s="25">
        <f t="shared" si="9"/>
        <v>536</v>
      </c>
      <c r="BN11" s="25">
        <f t="shared" si="10"/>
        <v>69.857142857142861</v>
      </c>
      <c r="BO11" s="25">
        <f t="shared" si="11"/>
        <v>88.571428571428569</v>
      </c>
      <c r="BP11" s="25">
        <f t="shared" si="12"/>
        <v>77.142857142857139</v>
      </c>
      <c r="BQ11" s="25">
        <f t="shared" si="13"/>
        <v>100.14285714285714</v>
      </c>
      <c r="BR11" s="25">
        <f t="shared" si="14"/>
        <v>52</v>
      </c>
      <c r="BS11" s="25">
        <f t="shared" si="15"/>
        <v>69.714285714285708</v>
      </c>
      <c r="BT11" s="25">
        <f t="shared" si="0"/>
        <v>78.571428571428569</v>
      </c>
    </row>
    <row r="12" spans="1:72" x14ac:dyDescent="0.35">
      <c r="A12" s="3"/>
      <c r="B12" s="19">
        <v>7</v>
      </c>
      <c r="C12" s="2">
        <v>10958</v>
      </c>
      <c r="D12" s="2">
        <v>7186</v>
      </c>
      <c r="E12" s="3">
        <f>D12/C12</f>
        <v>0.65577660156962947</v>
      </c>
      <c r="G12" s="28"/>
      <c r="H12" s="19" t="s">
        <v>55</v>
      </c>
      <c r="I12" s="2">
        <v>1244</v>
      </c>
      <c r="J12" s="2">
        <v>677</v>
      </c>
      <c r="K12" s="2">
        <v>2516</v>
      </c>
      <c r="L12" s="2">
        <v>1928</v>
      </c>
      <c r="M12" s="2">
        <v>2025</v>
      </c>
      <c r="N12" s="2">
        <v>1373</v>
      </c>
      <c r="O12" s="2">
        <v>1374</v>
      </c>
      <c r="P12" s="2">
        <v>781</v>
      </c>
      <c r="Q12" s="2">
        <v>1204</v>
      </c>
      <c r="R12" s="2">
        <v>793</v>
      </c>
      <c r="S12" s="2">
        <v>1844</v>
      </c>
      <c r="T12" s="2">
        <v>1008</v>
      </c>
      <c r="U12" s="2">
        <v>1079</v>
      </c>
      <c r="V12" s="2">
        <v>785</v>
      </c>
      <c r="W12" s="2">
        <v>11286</v>
      </c>
      <c r="X12" s="2">
        <v>7345</v>
      </c>
      <c r="Y12" s="2"/>
      <c r="Z12" s="28"/>
      <c r="AA12" s="20" t="s">
        <v>49</v>
      </c>
      <c r="AB12" s="28">
        <f t="shared" si="1"/>
        <v>0.65577660156962947</v>
      </c>
      <c r="AC12" s="28">
        <f t="shared" si="2"/>
        <v>0.78378378378378377</v>
      </c>
      <c r="AD12" s="28">
        <f t="shared" si="3"/>
        <v>0.6985743380855397</v>
      </c>
      <c r="AE12" s="28">
        <f t="shared" si="4"/>
        <v>0.56365030674846628</v>
      </c>
      <c r="AF12" s="28">
        <f t="shared" si="5"/>
        <v>0.57597765363128495</v>
      </c>
      <c r="AG12" s="28">
        <f t="shared" si="6"/>
        <v>0.686456400742115</v>
      </c>
      <c r="AH12" s="28">
        <f t="shared" si="7"/>
        <v>0.56095481670929237</v>
      </c>
      <c r="AI12" s="28">
        <f t="shared" si="8"/>
        <v>0.60977630488815249</v>
      </c>
      <c r="AJ12" s="28"/>
      <c r="AK12" s="28"/>
      <c r="AL12" s="20"/>
      <c r="AM12" s="19">
        <v>7</v>
      </c>
      <c r="AN12" s="2">
        <v>10958</v>
      </c>
      <c r="AO12" s="2">
        <v>7186</v>
      </c>
      <c r="AP12" s="20">
        <f t="shared" si="17"/>
        <v>538.85714285714289</v>
      </c>
      <c r="AQ12" s="20"/>
      <c r="AS12" s="19" t="s">
        <v>55</v>
      </c>
      <c r="AT12" s="2">
        <v>1244</v>
      </c>
      <c r="AU12" s="2">
        <v>677</v>
      </c>
      <c r="AV12" s="2">
        <v>2516</v>
      </c>
      <c r="AW12" s="2">
        <v>1928</v>
      </c>
      <c r="AX12" s="2">
        <v>2025</v>
      </c>
      <c r="AY12" s="2">
        <v>1373</v>
      </c>
      <c r="AZ12" s="2">
        <v>1374</v>
      </c>
      <c r="BA12" s="2">
        <v>781</v>
      </c>
      <c r="BB12" s="2">
        <v>1204</v>
      </c>
      <c r="BC12" s="2">
        <v>793</v>
      </c>
      <c r="BD12" s="2">
        <v>1844</v>
      </c>
      <c r="BE12" s="2">
        <v>1008</v>
      </c>
      <c r="BF12" s="2">
        <v>1079</v>
      </c>
      <c r="BG12" s="2">
        <v>785</v>
      </c>
      <c r="BH12" s="2">
        <v>11286</v>
      </c>
      <c r="BI12" s="2">
        <v>7345</v>
      </c>
      <c r="BJ12" s="2"/>
      <c r="BL12" s="20" t="s">
        <v>49</v>
      </c>
      <c r="BM12" s="25">
        <f t="shared" si="9"/>
        <v>538.85714285714289</v>
      </c>
      <c r="BN12" s="25">
        <f t="shared" si="10"/>
        <v>75.428571428571431</v>
      </c>
      <c r="BO12" s="25">
        <f t="shared" si="11"/>
        <v>84.571428571428569</v>
      </c>
      <c r="BP12" s="25">
        <f t="shared" si="12"/>
        <v>81.285714285714292</v>
      </c>
      <c r="BQ12" s="25">
        <f t="shared" si="13"/>
        <v>108.42857142857143</v>
      </c>
      <c r="BR12" s="25">
        <f t="shared" si="14"/>
        <v>48.285714285714285</v>
      </c>
      <c r="BS12" s="25">
        <f t="shared" si="15"/>
        <v>73.571428571428569</v>
      </c>
      <c r="BT12" s="25">
        <f t="shared" si="0"/>
        <v>67.285714285714292</v>
      </c>
    </row>
    <row r="13" spans="1:72" x14ac:dyDescent="0.35">
      <c r="A13" s="3"/>
      <c r="B13" s="19">
        <v>8</v>
      </c>
      <c r="C13" s="2">
        <v>11132</v>
      </c>
      <c r="D13" s="2">
        <v>7255</v>
      </c>
      <c r="E13" s="3">
        <f>D13/C13</f>
        <v>0.65172475745598279</v>
      </c>
      <c r="G13" s="28"/>
      <c r="H13" s="19" t="s">
        <v>44</v>
      </c>
      <c r="I13" s="2">
        <v>1174</v>
      </c>
      <c r="J13" s="2">
        <v>674</v>
      </c>
      <c r="K13" s="2">
        <v>2601</v>
      </c>
      <c r="L13" s="2">
        <v>1809</v>
      </c>
      <c r="M13" s="2">
        <v>2030</v>
      </c>
      <c r="N13" s="2">
        <v>1342</v>
      </c>
      <c r="O13" s="2">
        <v>1402</v>
      </c>
      <c r="P13" s="2">
        <v>840</v>
      </c>
      <c r="Q13" s="2">
        <v>1176</v>
      </c>
      <c r="R13" s="2">
        <v>691</v>
      </c>
      <c r="S13" s="2">
        <v>1757</v>
      </c>
      <c r="T13" s="2">
        <v>978</v>
      </c>
      <c r="U13" s="2">
        <v>1108</v>
      </c>
      <c r="V13" s="2">
        <v>677</v>
      </c>
      <c r="W13" s="2">
        <v>11248</v>
      </c>
      <c r="X13" s="2">
        <v>7011</v>
      </c>
      <c r="Y13" s="2"/>
      <c r="Z13" s="28"/>
      <c r="AA13" s="20" t="s">
        <v>50</v>
      </c>
      <c r="AB13" s="28">
        <f t="shared" si="1"/>
        <v>0.65172475745598279</v>
      </c>
      <c r="AC13" s="28">
        <f t="shared" si="2"/>
        <v>0.79587712206952299</v>
      </c>
      <c r="AD13" s="28">
        <f t="shared" si="3"/>
        <v>0.67302985805188453</v>
      </c>
      <c r="AE13" s="28">
        <f t="shared" si="4"/>
        <v>0.54406130268199238</v>
      </c>
      <c r="AF13" s="28">
        <f t="shared" si="5"/>
        <v>0.57755775577557755</v>
      </c>
      <c r="AG13" s="28">
        <f t="shared" si="6"/>
        <v>0.69944341372912799</v>
      </c>
      <c r="AH13" s="28">
        <f t="shared" si="7"/>
        <v>0.56075533661740562</v>
      </c>
      <c r="AI13" s="28">
        <f t="shared" si="8"/>
        <v>0.59698996655518399</v>
      </c>
      <c r="AJ13" s="28"/>
      <c r="AK13" s="28"/>
      <c r="AL13" s="20"/>
      <c r="AM13" s="19">
        <v>8</v>
      </c>
      <c r="AN13" s="2">
        <v>11132</v>
      </c>
      <c r="AO13" s="2">
        <v>7255</v>
      </c>
      <c r="AP13" s="20">
        <f t="shared" si="17"/>
        <v>553.85714285714289</v>
      </c>
      <c r="AQ13" s="20"/>
      <c r="AS13" s="19" t="s">
        <v>44</v>
      </c>
      <c r="AT13" s="2">
        <v>1174</v>
      </c>
      <c r="AU13" s="2">
        <v>674</v>
      </c>
      <c r="AV13" s="2">
        <v>2601</v>
      </c>
      <c r="AW13" s="2">
        <v>1809</v>
      </c>
      <c r="AX13" s="2">
        <v>2030</v>
      </c>
      <c r="AY13" s="2">
        <v>1342</v>
      </c>
      <c r="AZ13" s="2">
        <v>1402</v>
      </c>
      <c r="BA13" s="2">
        <v>840</v>
      </c>
      <c r="BB13" s="2">
        <v>1176</v>
      </c>
      <c r="BC13" s="2">
        <v>691</v>
      </c>
      <c r="BD13" s="2">
        <v>1757</v>
      </c>
      <c r="BE13" s="2">
        <v>978</v>
      </c>
      <c r="BF13" s="2">
        <v>1108</v>
      </c>
      <c r="BG13" s="2">
        <v>677</v>
      </c>
      <c r="BH13" s="2">
        <v>11248</v>
      </c>
      <c r="BI13" s="2">
        <v>7011</v>
      </c>
      <c r="BJ13" s="2"/>
      <c r="BL13" s="20" t="s">
        <v>50</v>
      </c>
      <c r="BM13" s="25">
        <f t="shared" si="9"/>
        <v>553.85714285714289</v>
      </c>
      <c r="BN13" s="25">
        <f t="shared" si="10"/>
        <v>72.142857142857139</v>
      </c>
      <c r="BO13" s="25">
        <f t="shared" si="11"/>
        <v>95.428571428571431</v>
      </c>
      <c r="BP13" s="25">
        <f t="shared" si="12"/>
        <v>85</v>
      </c>
      <c r="BQ13" s="25">
        <f t="shared" si="13"/>
        <v>109.71428571428571</v>
      </c>
      <c r="BR13" s="25">
        <f t="shared" si="14"/>
        <v>46.285714285714285</v>
      </c>
      <c r="BS13" s="25">
        <f t="shared" si="15"/>
        <v>76.428571428571431</v>
      </c>
      <c r="BT13" s="25">
        <f t="shared" si="0"/>
        <v>68.857142857142861</v>
      </c>
    </row>
    <row r="14" spans="1:72" x14ac:dyDescent="0.35">
      <c r="A14" s="3"/>
      <c r="B14" s="19">
        <v>9</v>
      </c>
      <c r="C14" s="2">
        <v>11215</v>
      </c>
      <c r="D14" s="2">
        <v>7274</v>
      </c>
      <c r="E14" s="3">
        <f t="shared" si="16"/>
        <v>0.64859563085153815</v>
      </c>
      <c r="G14" s="28"/>
      <c r="H14" s="19" t="s">
        <v>45</v>
      </c>
      <c r="I14" s="2">
        <v>1186</v>
      </c>
      <c r="J14" s="2">
        <v>686</v>
      </c>
      <c r="K14" s="2">
        <v>2540</v>
      </c>
      <c r="L14" s="2">
        <v>1904</v>
      </c>
      <c r="M14" s="2">
        <v>2051</v>
      </c>
      <c r="N14" s="2">
        <v>1405</v>
      </c>
      <c r="O14" s="2">
        <v>1379</v>
      </c>
      <c r="P14" s="2">
        <v>834</v>
      </c>
      <c r="Q14" s="2">
        <v>1178</v>
      </c>
      <c r="R14" s="2">
        <v>692</v>
      </c>
      <c r="S14" s="2">
        <v>1729</v>
      </c>
      <c r="T14" s="2">
        <v>993</v>
      </c>
      <c r="U14" s="2">
        <v>1078</v>
      </c>
      <c r="V14" s="2">
        <v>728</v>
      </c>
      <c r="W14" s="2">
        <v>11141</v>
      </c>
      <c r="X14" s="2">
        <v>7242</v>
      </c>
      <c r="Y14" s="2"/>
      <c r="Z14" s="28"/>
      <c r="AA14" s="20" t="s">
        <v>51</v>
      </c>
      <c r="AB14" s="28">
        <f t="shared" si="1"/>
        <v>0.64859563085153815</v>
      </c>
      <c r="AC14" s="28">
        <f t="shared" si="2"/>
        <v>0.79001996007984032</v>
      </c>
      <c r="AD14" s="28">
        <f t="shared" si="3"/>
        <v>0.65691621219633123</v>
      </c>
      <c r="AE14" s="28">
        <f t="shared" si="4"/>
        <v>0.54088522130532635</v>
      </c>
      <c r="AF14" s="28">
        <f t="shared" si="5"/>
        <v>0.59462424574876582</v>
      </c>
      <c r="AG14" s="28">
        <f t="shared" si="6"/>
        <v>0.67810760667903525</v>
      </c>
      <c r="AH14" s="28">
        <f t="shared" si="7"/>
        <v>0.56778309409888361</v>
      </c>
      <c r="AI14" s="28">
        <f t="shared" si="8"/>
        <v>0.59917012448132778</v>
      </c>
      <c r="AJ14" s="28"/>
      <c r="AK14" s="28"/>
      <c r="AL14" s="20"/>
      <c r="AM14" s="19">
        <v>9</v>
      </c>
      <c r="AN14" s="2">
        <v>11215</v>
      </c>
      <c r="AO14" s="2">
        <v>7274</v>
      </c>
      <c r="AP14" s="20">
        <f t="shared" si="17"/>
        <v>563</v>
      </c>
      <c r="AQ14" s="20"/>
      <c r="AS14" s="19" t="s">
        <v>45</v>
      </c>
      <c r="AT14" s="2">
        <v>1186</v>
      </c>
      <c r="AU14" s="2">
        <v>686</v>
      </c>
      <c r="AV14" s="2">
        <v>2540</v>
      </c>
      <c r="AW14" s="2">
        <v>1904</v>
      </c>
      <c r="AX14" s="2">
        <v>2051</v>
      </c>
      <c r="AY14" s="2">
        <v>1405</v>
      </c>
      <c r="AZ14" s="2">
        <v>1379</v>
      </c>
      <c r="BA14" s="2">
        <v>834</v>
      </c>
      <c r="BB14" s="2">
        <v>1178</v>
      </c>
      <c r="BC14" s="2">
        <v>692</v>
      </c>
      <c r="BD14" s="2">
        <v>1729</v>
      </c>
      <c r="BE14" s="2">
        <v>993</v>
      </c>
      <c r="BF14" s="2">
        <v>1078</v>
      </c>
      <c r="BG14" s="2">
        <v>728</v>
      </c>
      <c r="BH14" s="2">
        <v>11141</v>
      </c>
      <c r="BI14" s="2">
        <v>7242</v>
      </c>
      <c r="BJ14" s="2"/>
      <c r="BL14" s="20" t="s">
        <v>51</v>
      </c>
      <c r="BM14" s="25">
        <f t="shared" si="9"/>
        <v>563</v>
      </c>
      <c r="BN14" s="25">
        <f t="shared" si="10"/>
        <v>75.142857142857139</v>
      </c>
      <c r="BO14" s="25">
        <f t="shared" si="11"/>
        <v>98.857142857142861</v>
      </c>
      <c r="BP14" s="25">
        <f t="shared" si="12"/>
        <v>87.428571428571431</v>
      </c>
      <c r="BQ14" s="25">
        <f t="shared" si="13"/>
        <v>105.57142857142857</v>
      </c>
      <c r="BR14" s="25">
        <f t="shared" si="14"/>
        <v>49.571428571428569</v>
      </c>
      <c r="BS14" s="25">
        <f t="shared" si="15"/>
        <v>77.428571428571431</v>
      </c>
      <c r="BT14" s="25">
        <f t="shared" si="0"/>
        <v>69</v>
      </c>
    </row>
    <row r="15" spans="1:72" x14ac:dyDescent="0.35">
      <c r="A15" s="3"/>
      <c r="B15" s="19">
        <v>10</v>
      </c>
      <c r="C15" s="2">
        <v>11186</v>
      </c>
      <c r="D15" s="2">
        <v>7127</v>
      </c>
      <c r="E15" s="3">
        <f t="shared" si="16"/>
        <v>0.6371357053459682</v>
      </c>
      <c r="G15" s="28"/>
      <c r="H15" s="19" t="s">
        <v>46</v>
      </c>
      <c r="I15" s="2">
        <v>1187</v>
      </c>
      <c r="J15" s="2">
        <v>658</v>
      </c>
      <c r="K15" s="2">
        <v>2420</v>
      </c>
      <c r="L15" s="2">
        <v>1792</v>
      </c>
      <c r="M15" s="2">
        <v>2049</v>
      </c>
      <c r="N15" s="2">
        <v>1359</v>
      </c>
      <c r="O15" s="2">
        <v>1307</v>
      </c>
      <c r="P15" s="2">
        <v>825</v>
      </c>
      <c r="Q15" s="2">
        <v>1202</v>
      </c>
      <c r="R15" s="2">
        <v>745</v>
      </c>
      <c r="S15" s="2">
        <v>1749</v>
      </c>
      <c r="T15" s="2">
        <v>1090</v>
      </c>
      <c r="U15" s="2">
        <v>1074</v>
      </c>
      <c r="V15" s="2">
        <v>651</v>
      </c>
      <c r="W15" s="2">
        <v>10988</v>
      </c>
      <c r="X15" s="2">
        <v>7120</v>
      </c>
      <c r="Y15" s="2"/>
      <c r="Z15" s="28"/>
      <c r="AA15" s="20" t="s">
        <v>52</v>
      </c>
      <c r="AB15" s="28">
        <f t="shared" si="1"/>
        <v>0.6371357053459682</v>
      </c>
      <c r="AC15" s="28">
        <f t="shared" si="2"/>
        <v>0.76754385964912286</v>
      </c>
      <c r="AD15" s="28">
        <f t="shared" si="3"/>
        <v>0.65865865865865869</v>
      </c>
      <c r="AE15" s="28">
        <f t="shared" si="4"/>
        <v>0.5184626978146194</v>
      </c>
      <c r="AF15" s="28">
        <f t="shared" si="5"/>
        <v>0.57675438596491224</v>
      </c>
      <c r="AG15" s="28">
        <f t="shared" si="6"/>
        <v>0.64749536178107603</v>
      </c>
      <c r="AH15" s="28">
        <f t="shared" si="7"/>
        <v>0.58139534883720934</v>
      </c>
      <c r="AI15" s="28">
        <f t="shared" si="8"/>
        <v>0.60049833887043191</v>
      </c>
      <c r="AJ15" s="28"/>
      <c r="AK15" s="28"/>
      <c r="AL15" s="20"/>
      <c r="AM15" s="19">
        <v>10</v>
      </c>
      <c r="AN15" s="2">
        <v>11186</v>
      </c>
      <c r="AO15" s="2">
        <v>7127</v>
      </c>
      <c r="AP15" s="20">
        <f t="shared" si="17"/>
        <v>579.85714285714289</v>
      </c>
      <c r="AQ15" s="20"/>
      <c r="AS15" s="19" t="s">
        <v>46</v>
      </c>
      <c r="AT15" s="2">
        <v>1187</v>
      </c>
      <c r="AU15" s="2">
        <v>658</v>
      </c>
      <c r="AV15" s="2">
        <v>2420</v>
      </c>
      <c r="AW15" s="2">
        <v>1792</v>
      </c>
      <c r="AX15" s="2">
        <v>2049</v>
      </c>
      <c r="AY15" s="2">
        <v>1359</v>
      </c>
      <c r="AZ15" s="2">
        <v>1307</v>
      </c>
      <c r="BA15" s="2">
        <v>825</v>
      </c>
      <c r="BB15" s="2">
        <v>1202</v>
      </c>
      <c r="BC15" s="2">
        <v>745</v>
      </c>
      <c r="BD15" s="2">
        <v>1749</v>
      </c>
      <c r="BE15" s="2">
        <v>1090</v>
      </c>
      <c r="BF15" s="2">
        <v>1074</v>
      </c>
      <c r="BG15" s="2">
        <v>651</v>
      </c>
      <c r="BH15" s="2">
        <v>10988</v>
      </c>
      <c r="BI15" s="2">
        <v>7120</v>
      </c>
      <c r="BJ15" s="2"/>
      <c r="BL15" s="20" t="s">
        <v>52</v>
      </c>
      <c r="BM15" s="25">
        <f t="shared" si="9"/>
        <v>579.85714285714289</v>
      </c>
      <c r="BN15" s="25">
        <f t="shared" si="10"/>
        <v>83.285714285714292</v>
      </c>
      <c r="BO15" s="25">
        <f t="shared" si="11"/>
        <v>97.428571428571431</v>
      </c>
      <c r="BP15" s="25">
        <f t="shared" si="12"/>
        <v>91.285714285714292</v>
      </c>
      <c r="BQ15" s="25">
        <f t="shared" si="13"/>
        <v>110.28571428571429</v>
      </c>
      <c r="BR15" s="25">
        <f t="shared" si="14"/>
        <v>54.285714285714285</v>
      </c>
      <c r="BS15" s="25">
        <f t="shared" si="15"/>
        <v>74.571428571428569</v>
      </c>
      <c r="BT15" s="25">
        <f t="shared" si="0"/>
        <v>68.714285714285708</v>
      </c>
    </row>
    <row r="16" spans="1:72" x14ac:dyDescent="0.35">
      <c r="A16" s="3"/>
      <c r="B16" s="19">
        <v>11</v>
      </c>
      <c r="C16" s="2">
        <v>11257</v>
      </c>
      <c r="D16" s="2">
        <v>7178</v>
      </c>
      <c r="E16" s="3">
        <f t="shared" si="16"/>
        <v>0.63764768588433862</v>
      </c>
      <c r="G16" s="28"/>
      <c r="H16" s="19" t="s">
        <v>47</v>
      </c>
      <c r="I16" s="2">
        <v>1209</v>
      </c>
      <c r="J16" s="2">
        <v>656</v>
      </c>
      <c r="K16" s="2">
        <v>2412</v>
      </c>
      <c r="L16" s="2">
        <v>1849</v>
      </c>
      <c r="M16" s="2">
        <v>1953</v>
      </c>
      <c r="N16" s="2">
        <v>1356</v>
      </c>
      <c r="O16" s="2">
        <v>1343</v>
      </c>
      <c r="P16" s="2">
        <v>794</v>
      </c>
      <c r="Q16" s="2">
        <v>1201</v>
      </c>
      <c r="R16" s="2">
        <v>684</v>
      </c>
      <c r="S16" s="2">
        <v>1741</v>
      </c>
      <c r="T16" s="2">
        <v>1039</v>
      </c>
      <c r="U16" s="2">
        <v>1078</v>
      </c>
      <c r="V16" s="2">
        <v>660</v>
      </c>
      <c r="W16" s="2">
        <v>10937</v>
      </c>
      <c r="X16" s="2">
        <v>7038</v>
      </c>
      <c r="Y16" s="2"/>
      <c r="Z16" s="28"/>
      <c r="AA16" s="20" t="s">
        <v>53</v>
      </c>
      <c r="AB16" s="28">
        <f t="shared" si="1"/>
        <v>0.63764768588433862</v>
      </c>
      <c r="AC16" s="28">
        <f t="shared" si="2"/>
        <v>0.77410468319559234</v>
      </c>
      <c r="AD16" s="28">
        <f t="shared" si="3"/>
        <v>0.66716122650840748</v>
      </c>
      <c r="AE16" s="28">
        <f t="shared" si="4"/>
        <v>0.48430493273542602</v>
      </c>
      <c r="AF16" s="28">
        <f t="shared" si="5"/>
        <v>0.57694429123000557</v>
      </c>
      <c r="AG16" s="28">
        <f t="shared" si="6"/>
        <v>0.6567717996289425</v>
      </c>
      <c r="AH16" s="28">
        <f t="shared" si="7"/>
        <v>0.54342629482071714</v>
      </c>
      <c r="AI16" s="28">
        <f t="shared" si="8"/>
        <v>0.64297520661157026</v>
      </c>
      <c r="AJ16" s="28"/>
      <c r="AK16" s="28"/>
      <c r="AL16" s="20"/>
      <c r="AM16" s="19">
        <v>11</v>
      </c>
      <c r="AN16" s="2">
        <v>11257</v>
      </c>
      <c r="AO16" s="2">
        <v>7178</v>
      </c>
      <c r="AP16" s="20">
        <f t="shared" si="17"/>
        <v>582.71428571428567</v>
      </c>
      <c r="AQ16" s="20"/>
      <c r="AS16" s="19" t="s">
        <v>47</v>
      </c>
      <c r="AT16" s="2">
        <v>1209</v>
      </c>
      <c r="AU16" s="2">
        <v>656</v>
      </c>
      <c r="AV16" s="2">
        <v>2412</v>
      </c>
      <c r="AW16" s="2">
        <v>1849</v>
      </c>
      <c r="AX16" s="2">
        <v>1953</v>
      </c>
      <c r="AY16" s="2">
        <v>1356</v>
      </c>
      <c r="AZ16" s="2">
        <v>1343</v>
      </c>
      <c r="BA16" s="2">
        <v>794</v>
      </c>
      <c r="BB16" s="2">
        <v>1201</v>
      </c>
      <c r="BC16" s="2">
        <v>684</v>
      </c>
      <c r="BD16" s="2">
        <v>1741</v>
      </c>
      <c r="BE16" s="2">
        <v>1039</v>
      </c>
      <c r="BF16" s="2">
        <v>1078</v>
      </c>
      <c r="BG16" s="2">
        <v>660</v>
      </c>
      <c r="BH16" s="2">
        <v>10937</v>
      </c>
      <c r="BI16" s="2">
        <v>7038</v>
      </c>
      <c r="BJ16" s="2"/>
      <c r="BL16" s="20" t="s">
        <v>53</v>
      </c>
      <c r="BM16" s="25">
        <f t="shared" si="9"/>
        <v>582.71428571428567</v>
      </c>
      <c r="BN16" s="25">
        <f t="shared" si="10"/>
        <v>82</v>
      </c>
      <c r="BO16" s="25">
        <f t="shared" si="11"/>
        <v>96.142857142857139</v>
      </c>
      <c r="BP16" s="25">
        <f t="shared" si="12"/>
        <v>98.571428571428569</v>
      </c>
      <c r="BQ16" s="25">
        <f t="shared" si="13"/>
        <v>109.57142857142857</v>
      </c>
      <c r="BR16" s="25">
        <f t="shared" si="14"/>
        <v>52.857142857142854</v>
      </c>
      <c r="BS16" s="25">
        <f t="shared" si="15"/>
        <v>81.857142857142861</v>
      </c>
      <c r="BT16" s="25">
        <f t="shared" si="0"/>
        <v>61.714285714285715</v>
      </c>
    </row>
    <row r="17" spans="1:72" x14ac:dyDescent="0.35">
      <c r="A17" s="3"/>
      <c r="B17" s="19">
        <v>12</v>
      </c>
      <c r="C17" s="2">
        <v>11389</v>
      </c>
      <c r="D17" s="2">
        <v>7303</v>
      </c>
      <c r="E17" s="3">
        <f t="shared" si="16"/>
        <v>0.64123276846079547</v>
      </c>
      <c r="G17" s="28"/>
      <c r="H17" s="19" t="s">
        <v>48</v>
      </c>
      <c r="I17" s="2">
        <v>1201</v>
      </c>
      <c r="J17" s="2">
        <v>713</v>
      </c>
      <c r="K17" s="2">
        <v>2405</v>
      </c>
      <c r="L17" s="2">
        <v>1916</v>
      </c>
      <c r="M17" s="2">
        <v>1937</v>
      </c>
      <c r="N17" s="2">
        <v>1317</v>
      </c>
      <c r="O17" s="2">
        <v>1352</v>
      </c>
      <c r="P17" s="2">
        <v>812</v>
      </c>
      <c r="Q17" s="2">
        <v>1203</v>
      </c>
      <c r="R17" s="2">
        <v>653</v>
      </c>
      <c r="S17" s="2">
        <v>1750</v>
      </c>
      <c r="T17" s="2">
        <v>1049</v>
      </c>
      <c r="U17" s="2">
        <v>1078</v>
      </c>
      <c r="V17" s="2">
        <v>714</v>
      </c>
      <c r="W17" s="2">
        <v>10926</v>
      </c>
      <c r="X17" s="2">
        <v>7174</v>
      </c>
      <c r="Y17" s="2"/>
      <c r="Z17" s="28"/>
      <c r="AA17" s="20" t="s">
        <v>54</v>
      </c>
      <c r="AB17" s="28">
        <f t="shared" si="1"/>
        <v>0.64123276846079547</v>
      </c>
      <c r="AC17" s="28">
        <f t="shared" si="2"/>
        <v>0.74903025601241269</v>
      </c>
      <c r="AD17" s="28">
        <f t="shared" si="3"/>
        <v>0.62567368936795686</v>
      </c>
      <c r="AE17" s="28">
        <f t="shared" si="4"/>
        <v>0.54115076474872537</v>
      </c>
      <c r="AF17" s="28">
        <f t="shared" si="5"/>
        <v>0.56549865229110508</v>
      </c>
      <c r="AG17" s="28">
        <f t="shared" si="6"/>
        <v>0.71150278293135438</v>
      </c>
      <c r="AH17" s="28">
        <f t="shared" si="7"/>
        <v>0.58692185007974484</v>
      </c>
      <c r="AI17" s="28">
        <f t="shared" si="8"/>
        <v>0.66115702479338845</v>
      </c>
      <c r="AJ17" s="28"/>
      <c r="AK17" s="28"/>
      <c r="AL17" s="20"/>
      <c r="AM17" s="19">
        <v>12</v>
      </c>
      <c r="AN17" s="2">
        <v>11389</v>
      </c>
      <c r="AO17" s="2">
        <v>7303</v>
      </c>
      <c r="AP17" s="20">
        <f t="shared" si="17"/>
        <v>583.71428571428567</v>
      </c>
      <c r="AQ17" s="20"/>
      <c r="AS17" s="19" t="s">
        <v>48</v>
      </c>
      <c r="AT17" s="2">
        <v>1201</v>
      </c>
      <c r="AU17" s="2">
        <v>713</v>
      </c>
      <c r="AV17" s="2">
        <v>2405</v>
      </c>
      <c r="AW17" s="2">
        <v>1916</v>
      </c>
      <c r="AX17" s="2">
        <v>1937</v>
      </c>
      <c r="AY17" s="2">
        <v>1317</v>
      </c>
      <c r="AZ17" s="2">
        <v>1352</v>
      </c>
      <c r="BA17" s="2">
        <v>812</v>
      </c>
      <c r="BB17" s="2">
        <v>1203</v>
      </c>
      <c r="BC17" s="2">
        <v>653</v>
      </c>
      <c r="BD17" s="2">
        <v>1750</v>
      </c>
      <c r="BE17" s="2">
        <v>1049</v>
      </c>
      <c r="BF17" s="2">
        <v>1078</v>
      </c>
      <c r="BG17" s="2">
        <v>714</v>
      </c>
      <c r="BH17" s="2">
        <v>10926</v>
      </c>
      <c r="BI17" s="2">
        <v>7174</v>
      </c>
      <c r="BJ17" s="2"/>
      <c r="BL17" s="20" t="s">
        <v>54</v>
      </c>
      <c r="BM17" s="25">
        <f t="shared" si="9"/>
        <v>583.71428571428567</v>
      </c>
      <c r="BN17" s="25">
        <f t="shared" si="10"/>
        <v>92.428571428571431</v>
      </c>
      <c r="BO17" s="25">
        <f t="shared" si="11"/>
        <v>109.14285714285714</v>
      </c>
      <c r="BP17" s="25">
        <f t="shared" si="12"/>
        <v>90</v>
      </c>
      <c r="BQ17" s="25">
        <f t="shared" si="13"/>
        <v>115.14285714285714</v>
      </c>
      <c r="BR17" s="25">
        <f t="shared" si="14"/>
        <v>44.428571428571431</v>
      </c>
      <c r="BS17" s="25">
        <f t="shared" si="15"/>
        <v>74</v>
      </c>
      <c r="BT17" s="25">
        <f t="shared" si="0"/>
        <v>58.571428571428569</v>
      </c>
    </row>
    <row r="18" spans="1:72" x14ac:dyDescent="0.35">
      <c r="A18" s="3"/>
      <c r="B18" s="19">
        <v>13</v>
      </c>
      <c r="C18" s="2">
        <v>11286</v>
      </c>
      <c r="D18" s="2">
        <v>7345</v>
      </c>
      <c r="E18" s="3">
        <f t="shared" si="16"/>
        <v>0.6508063087010455</v>
      </c>
      <c r="G18" s="28"/>
      <c r="H18" s="19" t="s">
        <v>49</v>
      </c>
      <c r="I18" s="2">
        <v>1173</v>
      </c>
      <c r="J18" s="2">
        <v>658</v>
      </c>
      <c r="K18" s="2">
        <v>2442</v>
      </c>
      <c r="L18" s="2">
        <v>1914</v>
      </c>
      <c r="M18" s="2">
        <v>1964</v>
      </c>
      <c r="N18" s="2">
        <v>1372</v>
      </c>
      <c r="O18" s="2">
        <v>1304</v>
      </c>
      <c r="P18" s="2">
        <v>735</v>
      </c>
      <c r="Q18" s="2">
        <v>1207</v>
      </c>
      <c r="R18" s="2">
        <v>736</v>
      </c>
      <c r="S18" s="2">
        <v>1790</v>
      </c>
      <c r="T18" s="2">
        <v>1031</v>
      </c>
      <c r="U18" s="2">
        <v>1078</v>
      </c>
      <c r="V18" s="2">
        <v>740</v>
      </c>
      <c r="W18" s="2">
        <v>10958</v>
      </c>
      <c r="X18" s="2">
        <v>7186</v>
      </c>
      <c r="Y18" s="2"/>
      <c r="Z18" s="28"/>
      <c r="AA18" s="20" t="s">
        <v>55</v>
      </c>
      <c r="AB18" s="28">
        <f t="shared" si="1"/>
        <v>0.6508063087010455</v>
      </c>
      <c r="AC18" s="28">
        <f t="shared" si="2"/>
        <v>0.76629570747217801</v>
      </c>
      <c r="AD18" s="28">
        <f t="shared" si="3"/>
        <v>0.67802469135802468</v>
      </c>
      <c r="AE18" s="28">
        <f t="shared" si="4"/>
        <v>0.56841339155749637</v>
      </c>
      <c r="AF18" s="28">
        <f t="shared" si="5"/>
        <v>0.54663774403470711</v>
      </c>
      <c r="AG18" s="28">
        <f t="shared" si="6"/>
        <v>0.72752548656163119</v>
      </c>
      <c r="AH18" s="28">
        <f t="shared" si="7"/>
        <v>0.54421221864951763</v>
      </c>
      <c r="AI18" s="28">
        <f t="shared" si="8"/>
        <v>0.65863787375415284</v>
      </c>
      <c r="AJ18" s="28"/>
      <c r="AK18" s="28"/>
      <c r="AL18" s="20"/>
      <c r="AM18" s="19">
        <v>13</v>
      </c>
      <c r="AN18" s="2">
        <v>11286</v>
      </c>
      <c r="AO18" s="2">
        <v>7345</v>
      </c>
      <c r="AP18" s="20">
        <f t="shared" si="17"/>
        <v>563</v>
      </c>
      <c r="AQ18" s="20"/>
      <c r="AS18" s="19" t="s">
        <v>49</v>
      </c>
      <c r="AT18" s="2">
        <v>1173</v>
      </c>
      <c r="AU18" s="2">
        <v>658</v>
      </c>
      <c r="AV18" s="2">
        <v>2442</v>
      </c>
      <c r="AW18" s="2">
        <v>1914</v>
      </c>
      <c r="AX18" s="2">
        <v>1964</v>
      </c>
      <c r="AY18" s="2">
        <v>1372</v>
      </c>
      <c r="AZ18" s="2">
        <v>1304</v>
      </c>
      <c r="BA18" s="2">
        <v>735</v>
      </c>
      <c r="BB18" s="2">
        <v>1207</v>
      </c>
      <c r="BC18" s="2">
        <v>736</v>
      </c>
      <c r="BD18" s="2">
        <v>1790</v>
      </c>
      <c r="BE18" s="2">
        <v>1031</v>
      </c>
      <c r="BF18" s="2">
        <v>1078</v>
      </c>
      <c r="BG18" s="2">
        <v>740</v>
      </c>
      <c r="BH18" s="2">
        <v>10958</v>
      </c>
      <c r="BI18" s="2">
        <v>7186</v>
      </c>
      <c r="BJ18" s="2"/>
      <c r="BL18" s="20" t="s">
        <v>55</v>
      </c>
      <c r="BM18" s="25">
        <f t="shared" si="9"/>
        <v>563</v>
      </c>
      <c r="BN18" s="25">
        <f t="shared" si="10"/>
        <v>84</v>
      </c>
      <c r="BO18" s="25">
        <f t="shared" si="11"/>
        <v>93.142857142857139</v>
      </c>
      <c r="BP18" s="25">
        <f t="shared" si="12"/>
        <v>84.714285714285708</v>
      </c>
      <c r="BQ18" s="25">
        <f t="shared" si="13"/>
        <v>119.42857142857143</v>
      </c>
      <c r="BR18" s="25">
        <f t="shared" si="14"/>
        <v>42</v>
      </c>
      <c r="BS18" s="25">
        <f t="shared" si="15"/>
        <v>81</v>
      </c>
      <c r="BT18" s="25">
        <f t="shared" si="0"/>
        <v>58.714285714285715</v>
      </c>
    </row>
    <row r="19" spans="1:72" x14ac:dyDescent="0.35">
      <c r="A19" s="3"/>
      <c r="E19" s="3" t="e">
        <f t="shared" si="16"/>
        <v>#DIV/0!</v>
      </c>
      <c r="G19" s="28"/>
      <c r="H19" s="19" t="s">
        <v>50</v>
      </c>
      <c r="I19" s="2">
        <v>1218</v>
      </c>
      <c r="J19" s="2">
        <v>683</v>
      </c>
      <c r="K19" s="2">
        <v>2474</v>
      </c>
      <c r="L19" s="2">
        <v>1969</v>
      </c>
      <c r="M19" s="2">
        <v>2043</v>
      </c>
      <c r="N19" s="2">
        <v>1375</v>
      </c>
      <c r="O19" s="2">
        <v>1305</v>
      </c>
      <c r="P19" s="2">
        <v>710</v>
      </c>
      <c r="Q19" s="2">
        <v>1196</v>
      </c>
      <c r="R19" s="2">
        <v>714</v>
      </c>
      <c r="S19" s="2">
        <v>1818</v>
      </c>
      <c r="T19" s="2">
        <v>1050</v>
      </c>
      <c r="U19" s="2">
        <v>1078</v>
      </c>
      <c r="V19" s="2">
        <v>754</v>
      </c>
      <c r="W19" s="2">
        <v>11132</v>
      </c>
      <c r="X19" s="2">
        <v>7255</v>
      </c>
      <c r="Y19" s="2"/>
      <c r="Z19" s="28"/>
      <c r="AA19" s="20"/>
      <c r="AB19" s="28"/>
      <c r="AC19" s="28"/>
      <c r="AD19" s="28"/>
      <c r="AE19" s="28"/>
      <c r="AF19" s="28"/>
      <c r="AG19" s="28"/>
      <c r="AH19" s="28"/>
      <c r="AI19" s="28"/>
      <c r="AJ19" s="28"/>
      <c r="AK19" s="28"/>
      <c r="AL19" s="20"/>
      <c r="AP19" s="20">
        <f t="shared" si="17"/>
        <v>0</v>
      </c>
      <c r="AQ19" s="20"/>
      <c r="AS19" s="19" t="s">
        <v>50</v>
      </c>
      <c r="AT19" s="2">
        <v>1218</v>
      </c>
      <c r="AU19" s="2">
        <v>683</v>
      </c>
      <c r="AV19" s="2">
        <v>2474</v>
      </c>
      <c r="AW19" s="2">
        <v>1969</v>
      </c>
      <c r="AX19" s="2">
        <v>2043</v>
      </c>
      <c r="AY19" s="2">
        <v>1375</v>
      </c>
      <c r="AZ19" s="2">
        <v>1305</v>
      </c>
      <c r="BA19" s="2">
        <v>710</v>
      </c>
      <c r="BB19" s="2">
        <v>1196</v>
      </c>
      <c r="BC19" s="2">
        <v>714</v>
      </c>
      <c r="BD19" s="2">
        <v>1818</v>
      </c>
      <c r="BE19" s="2">
        <v>1050</v>
      </c>
      <c r="BF19" s="2">
        <v>1078</v>
      </c>
      <c r="BG19" s="2">
        <v>754</v>
      </c>
      <c r="BH19" s="2">
        <v>11132</v>
      </c>
      <c r="BI19" s="2">
        <v>7255</v>
      </c>
      <c r="BJ19" s="2"/>
      <c r="BL19" s="20"/>
      <c r="BM19" s="25"/>
      <c r="BN19" s="25"/>
      <c r="BO19" s="25"/>
      <c r="BP19" s="25"/>
      <c r="BQ19" s="25"/>
      <c r="BR19" s="25"/>
      <c r="BS19" s="26"/>
    </row>
    <row r="20" spans="1:72" x14ac:dyDescent="0.35">
      <c r="A20" s="3"/>
      <c r="E20" s="3" t="e">
        <f t="shared" si="16"/>
        <v>#DIV/0!</v>
      </c>
      <c r="H20" s="19" t="s">
        <v>51</v>
      </c>
      <c r="I20" s="2">
        <v>1254</v>
      </c>
      <c r="J20" s="2">
        <v>712</v>
      </c>
      <c r="K20" s="2">
        <v>2505</v>
      </c>
      <c r="L20" s="2">
        <v>1979</v>
      </c>
      <c r="M20" s="2">
        <v>2017</v>
      </c>
      <c r="N20" s="2">
        <v>1325</v>
      </c>
      <c r="O20" s="2">
        <v>1333</v>
      </c>
      <c r="P20" s="2">
        <v>721</v>
      </c>
      <c r="Q20" s="2">
        <v>1205</v>
      </c>
      <c r="R20" s="2">
        <v>722</v>
      </c>
      <c r="S20" s="2">
        <v>1823</v>
      </c>
      <c r="T20" s="2">
        <v>1084</v>
      </c>
      <c r="U20" s="2">
        <v>1078</v>
      </c>
      <c r="V20" s="2">
        <v>731</v>
      </c>
      <c r="W20" s="2">
        <v>11215</v>
      </c>
      <c r="X20" s="2">
        <v>7274</v>
      </c>
      <c r="Y20" s="2"/>
      <c r="AL20" s="20"/>
      <c r="AP20" s="20">
        <f t="shared" si="17"/>
        <v>0</v>
      </c>
      <c r="AQ20" s="20"/>
      <c r="AS20" s="19" t="s">
        <v>51</v>
      </c>
      <c r="AT20" s="2">
        <v>1254</v>
      </c>
      <c r="AU20" s="2">
        <v>712</v>
      </c>
      <c r="AV20" s="2">
        <v>2505</v>
      </c>
      <c r="AW20" s="2">
        <v>1979</v>
      </c>
      <c r="AX20" s="2">
        <v>2017</v>
      </c>
      <c r="AY20" s="2">
        <v>1325</v>
      </c>
      <c r="AZ20" s="2">
        <v>1333</v>
      </c>
      <c r="BA20" s="2">
        <v>721</v>
      </c>
      <c r="BB20" s="2">
        <v>1205</v>
      </c>
      <c r="BC20" s="2">
        <v>722</v>
      </c>
      <c r="BD20" s="2">
        <v>1823</v>
      </c>
      <c r="BE20" s="2">
        <v>1084</v>
      </c>
      <c r="BF20" s="2">
        <v>1078</v>
      </c>
      <c r="BG20" s="2">
        <v>731</v>
      </c>
      <c r="BH20" s="2">
        <v>11215</v>
      </c>
      <c r="BI20" s="2">
        <v>7274</v>
      </c>
      <c r="BJ20" s="2"/>
    </row>
    <row r="21" spans="1:72" x14ac:dyDescent="0.35">
      <c r="H21" s="19" t="s">
        <v>39</v>
      </c>
      <c r="I21" s="2">
        <v>15752</v>
      </c>
      <c r="J21" s="2">
        <v>8885</v>
      </c>
      <c r="K21" s="2">
        <v>32568</v>
      </c>
      <c r="L21" s="2">
        <v>24723</v>
      </c>
      <c r="M21" s="2">
        <v>26060</v>
      </c>
      <c r="N21" s="2">
        <v>17365</v>
      </c>
      <c r="O21" s="2">
        <v>17473</v>
      </c>
      <c r="P21" s="2">
        <v>9947</v>
      </c>
      <c r="Q21" s="2">
        <v>15538</v>
      </c>
      <c r="R21" s="2">
        <v>9348</v>
      </c>
      <c r="S21" s="2">
        <v>23278</v>
      </c>
      <c r="T21" s="2">
        <v>13516</v>
      </c>
      <c r="U21" s="2">
        <v>14067</v>
      </c>
      <c r="V21" s="2">
        <v>9299</v>
      </c>
      <c r="W21" s="2">
        <v>144736</v>
      </c>
      <c r="X21" s="2">
        <v>93083</v>
      </c>
      <c r="Y21" s="2"/>
      <c r="AS21" s="19" t="s">
        <v>39</v>
      </c>
      <c r="AT21" s="2">
        <v>15752</v>
      </c>
      <c r="AU21" s="2">
        <v>8885</v>
      </c>
      <c r="AV21" s="2">
        <v>32568</v>
      </c>
      <c r="AW21" s="2">
        <v>24723</v>
      </c>
      <c r="AX21" s="2">
        <v>26060</v>
      </c>
      <c r="AY21" s="2">
        <v>17365</v>
      </c>
      <c r="AZ21" s="2">
        <v>17473</v>
      </c>
      <c r="BA21" s="2">
        <v>9947</v>
      </c>
      <c r="BB21" s="2">
        <v>15538</v>
      </c>
      <c r="BC21" s="2">
        <v>9348</v>
      </c>
      <c r="BD21" s="2">
        <v>23278</v>
      </c>
      <c r="BE21" s="2">
        <v>13516</v>
      </c>
      <c r="BF21" s="2">
        <v>14067</v>
      </c>
      <c r="BG21" s="2">
        <v>9299</v>
      </c>
      <c r="BH21" s="2">
        <v>144736</v>
      </c>
      <c r="BI21" s="2">
        <v>93083</v>
      </c>
      <c r="BJ21" s="2"/>
    </row>
  </sheetData>
  <mergeCells count="2">
    <mergeCell ref="AS1:BS1"/>
    <mergeCell ref="H1:AH1"/>
  </mergeCells>
  <pageMargins left="0.7" right="0.7" top="0.75" bottom="0.75" header="0.3" footer="0.3"/>
  <pageSetup paperSize="9" orientation="portrait"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Y143"/>
  <sheetViews>
    <sheetView topLeftCell="AX1" workbookViewId="0">
      <selection activeCell="B3" sqref="B3"/>
    </sheetView>
  </sheetViews>
  <sheetFormatPr defaultRowHeight="14.5" x14ac:dyDescent="0.35"/>
  <cols>
    <col min="1" max="1" width="11.26953125" customWidth="1"/>
    <col min="2" max="2" width="17.7265625" bestFit="1" customWidth="1"/>
    <col min="3" max="3" width="15.26953125" bestFit="1" customWidth="1"/>
    <col min="4" max="4" width="7.08984375" bestFit="1" customWidth="1"/>
    <col min="5" max="5" width="8.54296875" bestFit="1" customWidth="1"/>
    <col min="6" max="6" width="22" bestFit="1" customWidth="1"/>
    <col min="7" max="7" width="10.54296875" bestFit="1" customWidth="1"/>
    <col min="8" max="8" width="9.7265625" bestFit="1" customWidth="1"/>
    <col min="9" max="9" width="10.54296875" bestFit="1" customWidth="1"/>
    <col min="10" max="10" width="10.7265625" bestFit="1" customWidth="1"/>
    <col min="11" max="22" width="11.26953125" customWidth="1"/>
    <col min="24" max="24" width="12.36328125" bestFit="1" customWidth="1"/>
    <col min="25" max="25" width="17.7265625" bestFit="1" customWidth="1"/>
    <col min="26" max="26" width="9.90625" bestFit="1" customWidth="1"/>
    <col min="27" max="27" width="11.453125" bestFit="1" customWidth="1"/>
    <col min="28" max="28" width="17.7265625" bestFit="1" customWidth="1"/>
    <col min="29" max="29" width="9.90625" bestFit="1" customWidth="1"/>
    <col min="30" max="30" width="11.453125" bestFit="1" customWidth="1"/>
    <col min="31" max="31" width="17.7265625" bestFit="1" customWidth="1"/>
    <col min="32" max="32" width="9.90625" bestFit="1" customWidth="1"/>
    <col min="33" max="33" width="11.453125" bestFit="1" customWidth="1"/>
    <col min="34" max="34" width="22" bestFit="1" customWidth="1"/>
    <col min="35" max="35" width="9.90625" bestFit="1" customWidth="1"/>
    <col min="36" max="36" width="11.453125" bestFit="1" customWidth="1"/>
    <col min="37" max="37" width="17.7265625" bestFit="1" customWidth="1"/>
    <col min="38" max="38" width="9.90625" bestFit="1" customWidth="1"/>
    <col min="39" max="39" width="11.453125" bestFit="1" customWidth="1"/>
    <col min="40" max="40" width="17.7265625" bestFit="1" customWidth="1"/>
    <col min="41" max="41" width="9.90625" bestFit="1" customWidth="1"/>
    <col min="42" max="42" width="11.453125" bestFit="1" customWidth="1"/>
    <col min="43" max="43" width="17.7265625" bestFit="1" customWidth="1"/>
    <col min="44" max="44" width="9.90625" bestFit="1" customWidth="1"/>
    <col min="45" max="45" width="11.453125" bestFit="1" customWidth="1"/>
    <col min="46" max="46" width="22.54296875" bestFit="1" customWidth="1"/>
    <col min="47" max="47" width="14.7265625" bestFit="1" customWidth="1"/>
    <col min="48" max="48" width="16.26953125" bestFit="1" customWidth="1"/>
    <col min="49" max="49" width="17.26953125" customWidth="1"/>
    <col min="63" max="63" width="66.90625" bestFit="1" customWidth="1"/>
    <col min="64" max="64" width="15.26953125" bestFit="1" customWidth="1"/>
    <col min="65" max="68" width="8.08984375" bestFit="1" customWidth="1"/>
    <col min="69" max="76" width="7.08984375" bestFit="1" customWidth="1"/>
  </cols>
  <sheetData>
    <row r="1" spans="1:76" s="17" customFormat="1" x14ac:dyDescent="0.35">
      <c r="A1" s="37"/>
      <c r="B1" s="43" t="s">
        <v>287</v>
      </c>
      <c r="C1" s="50"/>
      <c r="D1" s="50"/>
      <c r="E1" s="50"/>
      <c r="F1" s="50"/>
      <c r="G1" s="50"/>
      <c r="H1" s="50"/>
      <c r="I1" s="115"/>
      <c r="J1" s="115"/>
      <c r="K1" s="115"/>
      <c r="L1" s="54"/>
      <c r="M1" s="54"/>
      <c r="N1" s="54"/>
      <c r="O1" s="54"/>
      <c r="P1" s="54"/>
      <c r="Q1" s="54"/>
      <c r="R1" s="54"/>
      <c r="S1" s="54"/>
      <c r="T1" s="54"/>
      <c r="U1" s="37"/>
      <c r="V1" s="37"/>
      <c r="W1" s="47"/>
      <c r="X1" s="43" t="s">
        <v>288</v>
      </c>
      <c r="Y1" s="50"/>
      <c r="Z1" s="50"/>
      <c r="AA1" s="50"/>
      <c r="AB1" s="50"/>
      <c r="AC1" s="50"/>
      <c r="AD1" s="50"/>
      <c r="AE1" s="50"/>
      <c r="AF1" s="50"/>
      <c r="AG1" s="50"/>
      <c r="AH1" s="50"/>
      <c r="AI1" s="50"/>
      <c r="AJ1" s="50"/>
      <c r="AK1" s="50"/>
      <c r="AL1" s="50"/>
      <c r="AM1" s="50"/>
      <c r="AN1" s="50"/>
      <c r="AO1" s="50"/>
      <c r="AP1" s="50"/>
      <c r="AQ1" s="115"/>
      <c r="AR1" s="115"/>
      <c r="AS1" s="115"/>
      <c r="AT1" s="115"/>
      <c r="AU1" s="115"/>
      <c r="AV1" s="115"/>
      <c r="AW1" s="115"/>
      <c r="AX1" s="50"/>
      <c r="AY1" s="50"/>
      <c r="AZ1" s="50"/>
      <c r="BA1" s="50"/>
      <c r="BB1" s="50"/>
      <c r="BC1" s="50"/>
      <c r="BD1" s="50"/>
      <c r="BE1" s="50"/>
      <c r="BF1" s="50"/>
      <c r="BG1" s="115"/>
      <c r="BH1" s="115"/>
    </row>
    <row r="3" spans="1:76" x14ac:dyDescent="0.35">
      <c r="B3" s="18" t="s">
        <v>40</v>
      </c>
      <c r="C3" t="s" vm="1">
        <v>435</v>
      </c>
      <c r="N3" t="s">
        <v>41</v>
      </c>
      <c r="O3" t="s">
        <v>1</v>
      </c>
      <c r="P3" t="s">
        <v>226</v>
      </c>
      <c r="Q3" t="s">
        <v>254</v>
      </c>
      <c r="R3" t="s">
        <v>223</v>
      </c>
      <c r="S3" t="s">
        <v>224</v>
      </c>
      <c r="T3" t="s">
        <v>257</v>
      </c>
      <c r="U3" t="s">
        <v>256</v>
      </c>
      <c r="X3" s="18" t="s">
        <v>40</v>
      </c>
      <c r="Y3" t="s" vm="1">
        <v>435</v>
      </c>
      <c r="BK3" s="18" t="s">
        <v>40</v>
      </c>
      <c r="BL3" t="s" vm="1">
        <v>435</v>
      </c>
    </row>
    <row r="4" spans="1:76" x14ac:dyDescent="0.35">
      <c r="M4" s="21" t="s">
        <v>43</v>
      </c>
      <c r="N4" s="25">
        <f>(VLOOKUP($M4,$B$7:$J$1048576,9, FALSE))</f>
        <v>90215</v>
      </c>
      <c r="O4" s="25">
        <f>(VLOOKUP($M4,$B$7:$J$1048576,3, FALSE))</f>
        <v>14673</v>
      </c>
      <c r="P4" s="25">
        <f>(VLOOKUP($M4,$B$7:$J$1048576,4, FALSE))</f>
        <v>18232</v>
      </c>
      <c r="Q4" s="25">
        <f>(VLOOKUP($M4,$B$7:$J$1048576,5, FALSE))</f>
        <v>13758</v>
      </c>
      <c r="R4" s="25">
        <f>(VLOOKUP($M4,$B$7:$J$1048576,7, FALSE))</f>
        <v>13316</v>
      </c>
      <c r="S4" s="25">
        <f>(VLOOKUP($M4,$B$7:$J$1048576,8, FALSE))</f>
        <v>8812</v>
      </c>
      <c r="T4" s="25">
        <f>(VLOOKUP($M4,$B$7:$J$1048576,2, FALSE))</f>
        <v>9810</v>
      </c>
      <c r="U4" s="25">
        <f>(VLOOKUP($M4,$B$7:$J$1048576,6, FALSE))</f>
        <v>11614</v>
      </c>
      <c r="W4" s="28"/>
      <c r="AN4" s="28"/>
      <c r="AO4" s="28"/>
      <c r="AP4" s="28"/>
      <c r="AQ4" s="28"/>
      <c r="AR4" s="28"/>
      <c r="AS4" s="28"/>
      <c r="AT4" s="28"/>
      <c r="AU4" s="28"/>
      <c r="AV4" s="28"/>
      <c r="AW4" s="28"/>
      <c r="AX4" s="28"/>
      <c r="AY4" s="28"/>
      <c r="AZ4" s="28"/>
      <c r="BA4" s="28"/>
      <c r="BB4" s="28"/>
      <c r="BC4" s="28"/>
      <c r="BD4" s="28"/>
      <c r="BE4" s="28"/>
      <c r="BF4" s="28"/>
      <c r="BG4" s="28"/>
      <c r="BH4" s="28"/>
    </row>
    <row r="5" spans="1:76" x14ac:dyDescent="0.35">
      <c r="B5" s="18" t="s">
        <v>175</v>
      </c>
      <c r="C5" s="18" t="s">
        <v>42</v>
      </c>
      <c r="M5" s="21" t="s">
        <v>44</v>
      </c>
      <c r="N5" s="25">
        <f t="shared" ref="N5:N16" si="0">(VLOOKUP($M5,$B$7:$J$1048576,9, FALSE))</f>
        <v>90368</v>
      </c>
      <c r="O5" s="25">
        <f t="shared" ref="O5:O15" si="1">(VLOOKUP($M5,$B$7:$J$1048576,3, FALSE))</f>
        <v>14588</v>
      </c>
      <c r="P5" s="25">
        <f t="shared" ref="P5:P16" si="2">(VLOOKUP($M5,$B$7:$J$1048576,4, FALSE))</f>
        <v>18196</v>
      </c>
      <c r="Q5" s="25">
        <f t="shared" ref="Q5:Q16" si="3">(VLOOKUP($M5,$B$7:$J$1048576,5, FALSE))</f>
        <v>13740</v>
      </c>
      <c r="R5" s="25">
        <f t="shared" ref="R5:R16" si="4">(VLOOKUP($M5,$B$7:$J$1048576,7, FALSE))</f>
        <v>13214</v>
      </c>
      <c r="S5" s="25">
        <f t="shared" ref="S5:S16" si="5">(VLOOKUP($M5,$B$7:$J$1048576,8, FALSE))</f>
        <v>9078</v>
      </c>
      <c r="T5" s="25">
        <f t="shared" ref="T5:T16" si="6">(VLOOKUP($M5,$B$7:$J$1048576,2, FALSE))</f>
        <v>9893</v>
      </c>
      <c r="U5" s="25">
        <f t="shared" ref="U5:U16" si="7">(VLOOKUP($M5,$B$7:$J$1048576,6, FALSE))</f>
        <v>11659</v>
      </c>
      <c r="W5" s="28"/>
      <c r="Y5" s="18" t="s">
        <v>42</v>
      </c>
      <c r="AX5" s="28"/>
      <c r="AZ5" t="s">
        <v>41</v>
      </c>
      <c r="BA5" t="s">
        <v>1</v>
      </c>
      <c r="BB5" t="s">
        <v>226</v>
      </c>
      <c r="BC5" t="s">
        <v>254</v>
      </c>
      <c r="BD5" t="s">
        <v>223</v>
      </c>
      <c r="BE5" t="s">
        <v>224</v>
      </c>
      <c r="BF5" t="s">
        <v>257</v>
      </c>
      <c r="BG5" t="s">
        <v>256</v>
      </c>
      <c r="BK5" s="18" t="s">
        <v>189</v>
      </c>
      <c r="BL5" s="18" t="s">
        <v>42</v>
      </c>
    </row>
    <row r="6" spans="1:76" x14ac:dyDescent="0.35">
      <c r="B6" s="18" t="s">
        <v>38</v>
      </c>
      <c r="C6" t="s">
        <v>291</v>
      </c>
      <c r="D6" t="s">
        <v>1</v>
      </c>
      <c r="E6" t="s">
        <v>226</v>
      </c>
      <c r="F6" t="s">
        <v>258</v>
      </c>
      <c r="G6" t="s">
        <v>255</v>
      </c>
      <c r="H6" t="s">
        <v>223</v>
      </c>
      <c r="I6" t="s">
        <v>224</v>
      </c>
      <c r="J6" t="s">
        <v>39</v>
      </c>
      <c r="M6" s="21" t="s">
        <v>45</v>
      </c>
      <c r="N6" s="25">
        <f t="shared" si="0"/>
        <v>89023</v>
      </c>
      <c r="O6" s="25">
        <f t="shared" si="1"/>
        <v>13903</v>
      </c>
      <c r="P6" s="25">
        <f t="shared" si="2"/>
        <v>17997</v>
      </c>
      <c r="Q6" s="25">
        <f t="shared" si="3"/>
        <v>13938</v>
      </c>
      <c r="R6" s="25">
        <f t="shared" si="4"/>
        <v>12857</v>
      </c>
      <c r="S6" s="25">
        <f t="shared" si="5"/>
        <v>8840</v>
      </c>
      <c r="T6" s="25">
        <f t="shared" si="6"/>
        <v>9739</v>
      </c>
      <c r="U6" s="25">
        <f t="shared" si="7"/>
        <v>11749</v>
      </c>
      <c r="W6" s="28"/>
      <c r="Y6" t="s">
        <v>291</v>
      </c>
      <c r="AB6" t="s">
        <v>1</v>
      </c>
      <c r="AE6" t="s">
        <v>226</v>
      </c>
      <c r="AH6" t="s">
        <v>258</v>
      </c>
      <c r="AK6" t="s">
        <v>255</v>
      </c>
      <c r="AN6" t="s">
        <v>223</v>
      </c>
      <c r="AQ6" t="s">
        <v>224</v>
      </c>
      <c r="AT6" t="s">
        <v>180</v>
      </c>
      <c r="AU6" t="s">
        <v>176</v>
      </c>
      <c r="AV6" t="s">
        <v>178</v>
      </c>
      <c r="AX6" s="28"/>
      <c r="AY6" s="21" t="s">
        <v>43</v>
      </c>
      <c r="AZ6" s="28">
        <f>(VLOOKUP($AY6,$X$8:$AV$1048576,24,FALSE)+VLOOKUP($AY6,$X$8:$AV$1048576,25,FALSE))/VLOOKUP($AY6,$X$8:$AV$1048576,23,FALSE)</f>
        <v>0.11035858781799035</v>
      </c>
      <c r="BA6" s="28">
        <f>(VLOOKUP($AY6,$X$8:$AV$1048576,6,FALSE)+VLOOKUP($AY6,$X$8:$AV$1048576,7,FALSE))/VLOOKUP($AY6,$X$8:$AV$1048576,5,FALSE)</f>
        <v>7.646698016765488E-2</v>
      </c>
      <c r="BB6" s="28">
        <f>(VLOOKUP($AY6,$X$8:$AV$1048576,9,FALSE)+VLOOKUP($AY6,$X$8:$AV$1048576,10,FALSE))/VLOOKUP($AY6,$X$8:$AV$1048576,8,FALSE)</f>
        <v>0.14962702939885913</v>
      </c>
      <c r="BC6" s="28">
        <f>(VLOOKUP($AY6,$X$8:$AV$1048576,12,FALSE)+VLOOKUP($AY6,$X$8:$AV$1048576,13,FALSE))/VLOOKUP($AY6,$X$8:$AV$1048576,11,FALSE)</f>
        <v>7.9008576828027324E-2</v>
      </c>
      <c r="BD6" s="28">
        <f>(VLOOKUP($AY6,$X$8:$AV$1048576,18,FALSE)+VLOOKUP($AY6,$X$8:$AV$1048576,19,FALSE))/VLOOKUP($AY6,$X$8:$AV$1048576,17, FALSE)</f>
        <v>9.0717933313307297E-2</v>
      </c>
      <c r="BE6" s="28">
        <f>(VLOOKUP($AY6,$X$8:$AV$1048576,21,FALSE)+VLOOKUP($AY6,$X$8:$AV$1048576,22, FALSE))/VLOOKUP($AY6,$X$8:$AV$1048576,20,FALSE)</f>
        <v>0.11643213799364503</v>
      </c>
      <c r="BF6" s="28">
        <f>(VLOOKUP($AY6,$X$8:$AV$1048576,3,FALSE)+VLOOKUP($AY6,$X$8:$AV$1048576,4,FALSE))/VLOOKUP($AY6,$X$8:$AV$1048576,2,FALSE)</f>
        <v>0.16452599388379205</v>
      </c>
      <c r="BG6" s="28">
        <f>(VLOOKUP($AY6,$X$8:$AV$1048576,15,FALSE)+VLOOKUP($AY6,$X$8:$AV$1048576,16,FALSE))/VLOOKUP($AY6,$X$8:$AV$1048576,14,FALSE)</f>
        <v>0.10082658859996556</v>
      </c>
      <c r="BH6" s="28"/>
      <c r="BK6" s="18" t="s">
        <v>38</v>
      </c>
      <c r="BL6" t="s">
        <v>43</v>
      </c>
      <c r="BM6" t="s">
        <v>52</v>
      </c>
      <c r="BN6" t="s">
        <v>53</v>
      </c>
      <c r="BO6" t="s">
        <v>54</v>
      </c>
      <c r="BP6" t="s">
        <v>55</v>
      </c>
      <c r="BQ6" t="s">
        <v>44</v>
      </c>
      <c r="BR6" t="s">
        <v>45</v>
      </c>
      <c r="BS6" t="s">
        <v>46</v>
      </c>
      <c r="BT6" t="s">
        <v>47</v>
      </c>
      <c r="BU6" t="s">
        <v>48</v>
      </c>
      <c r="BV6" t="s">
        <v>49</v>
      </c>
      <c r="BW6" t="s">
        <v>50</v>
      </c>
      <c r="BX6" t="s">
        <v>51</v>
      </c>
    </row>
    <row r="7" spans="1:76" x14ac:dyDescent="0.35">
      <c r="A7" s="2"/>
      <c r="B7" s="19" t="s">
        <v>43</v>
      </c>
      <c r="C7" s="2">
        <v>9810</v>
      </c>
      <c r="D7" s="2">
        <v>14673</v>
      </c>
      <c r="E7" s="2">
        <v>18232</v>
      </c>
      <c r="F7" s="2">
        <v>13758</v>
      </c>
      <c r="G7" s="2">
        <v>11614</v>
      </c>
      <c r="H7" s="2">
        <v>13316</v>
      </c>
      <c r="I7" s="2">
        <v>8812</v>
      </c>
      <c r="J7" s="2">
        <v>90215</v>
      </c>
      <c r="K7" s="2"/>
      <c r="L7" s="2"/>
      <c r="M7" s="21" t="s">
        <v>46</v>
      </c>
      <c r="N7" s="25">
        <f t="shared" si="0"/>
        <v>86465</v>
      </c>
      <c r="O7" s="25">
        <f t="shared" si="1"/>
        <v>12849</v>
      </c>
      <c r="P7" s="25">
        <f t="shared" si="2"/>
        <v>17761</v>
      </c>
      <c r="Q7" s="25">
        <f t="shared" si="3"/>
        <v>13309</v>
      </c>
      <c r="R7" s="25">
        <f t="shared" si="4"/>
        <v>12869</v>
      </c>
      <c r="S7" s="25">
        <f t="shared" si="5"/>
        <v>8531</v>
      </c>
      <c r="T7" s="25">
        <f t="shared" si="6"/>
        <v>9435</v>
      </c>
      <c r="U7" s="25">
        <f t="shared" si="7"/>
        <v>11711</v>
      </c>
      <c r="V7" s="2"/>
      <c r="W7" s="28"/>
      <c r="X7" s="18" t="s">
        <v>38</v>
      </c>
      <c r="Y7" t="s">
        <v>175</v>
      </c>
      <c r="Z7" t="s">
        <v>177</v>
      </c>
      <c r="AA7" t="s">
        <v>179</v>
      </c>
      <c r="AB7" t="s">
        <v>175</v>
      </c>
      <c r="AC7" t="s">
        <v>177</v>
      </c>
      <c r="AD7" t="s">
        <v>179</v>
      </c>
      <c r="AE7" t="s">
        <v>175</v>
      </c>
      <c r="AF7" t="s">
        <v>177</v>
      </c>
      <c r="AG7" t="s">
        <v>179</v>
      </c>
      <c r="AH7" t="s">
        <v>175</v>
      </c>
      <c r="AI7" t="s">
        <v>177</v>
      </c>
      <c r="AJ7" t="s">
        <v>179</v>
      </c>
      <c r="AK7" t="s">
        <v>175</v>
      </c>
      <c r="AL7" t="s">
        <v>177</v>
      </c>
      <c r="AM7" t="s">
        <v>179</v>
      </c>
      <c r="AN7" t="s">
        <v>175</v>
      </c>
      <c r="AO7" t="s">
        <v>177</v>
      </c>
      <c r="AP7" t="s">
        <v>179</v>
      </c>
      <c r="AQ7" t="s">
        <v>175</v>
      </c>
      <c r="AR7" t="s">
        <v>177</v>
      </c>
      <c r="AS7" t="s">
        <v>179</v>
      </c>
      <c r="AX7" s="28"/>
      <c r="AY7" s="21" t="s">
        <v>44</v>
      </c>
      <c r="AZ7" s="28">
        <f t="shared" ref="AZ7:AZ18" si="8">(VLOOKUP($AY7,$X$8:$AV$1048576,24,FALSE)+VLOOKUP($AY7,$X$8:$AV$1048576,25,FALSE))/VLOOKUP($AY7,$X$8:$AV$1048576,23,FALSE)</f>
        <v>0.1453943873937677</v>
      </c>
      <c r="BA7" s="28">
        <f t="shared" ref="BA7:BA18" si="9">(VLOOKUP($AY7,$X$8:$AV$1048576,6,FALSE)+VLOOKUP($AY7,$X$8:$AV$1048576,7,FALSE))/VLOOKUP($AY7,$X$8:$AV$1048576,5,FALSE)</f>
        <v>0.11886482040032904</v>
      </c>
      <c r="BB7" s="28">
        <f t="shared" ref="BB7:BB18" si="10">(VLOOKUP($AY7,$X$8:$AV$1048576,9,FALSE)+VLOOKUP($AY7,$X$8:$AV$1048576,10,FALSE))/VLOOKUP($AY7,$X$8:$AV$1048576,8,FALSE)</f>
        <v>0.19647175203341394</v>
      </c>
      <c r="BC7" s="28">
        <f t="shared" ref="BC7:BC18" si="11">(VLOOKUP($AY7,$X$8:$AV$1048576,12,FALSE)+VLOOKUP($AY7,$X$8:$AV$1048576,13,FALSE))/VLOOKUP($AY7,$X$8:$AV$1048576,11,FALSE)</f>
        <v>8.4061135371179041E-2</v>
      </c>
      <c r="BD7" s="28">
        <f t="shared" ref="BD7:BD18" si="12">(VLOOKUP($AY7,$X$8:$AV$1048576,18,FALSE)+VLOOKUP($AY7,$X$8:$AV$1048576,19,FALSE))/VLOOKUP($AY7,$X$8:$AV$1048576,17, FALSE)</f>
        <v>0.12267292265778719</v>
      </c>
      <c r="BE7" s="28">
        <f t="shared" ref="BE7:BE18" si="13">(VLOOKUP($AY7,$X$8:$AV$1048576,21,FALSE)+VLOOKUP($AY7,$X$8:$AV$1048576,22, FALSE))/VLOOKUP($AY7,$X$8:$AV$1048576,20,FALSE)</f>
        <v>0.17129323639568186</v>
      </c>
      <c r="BF7" s="28">
        <f t="shared" ref="BF7:BF18" si="14">(VLOOKUP($AY7,$X$8:$AV$1048576,3,FALSE)+VLOOKUP($AY7,$X$8:$AV$1048576,4,FALSE))/VLOOKUP($AY7,$X$8:$AV$1048576,2,FALSE)</f>
        <v>0.22632164156474274</v>
      </c>
      <c r="BG7" s="28">
        <f t="shared" ref="BG7:BG18" si="15">(VLOOKUP($AY7,$X$8:$AV$1048576,15,FALSE)+VLOOKUP($AY7,$X$8:$AV$1048576,16,FALSE))/VLOOKUP($AY7,$X$8:$AV$1048576,14,FALSE)</f>
        <v>0.108071018097607</v>
      </c>
      <c r="BH7" s="28"/>
      <c r="BK7" s="19" t="s">
        <v>64</v>
      </c>
      <c r="BL7" s="2">
        <v>0</v>
      </c>
      <c r="BM7" s="2">
        <v>0</v>
      </c>
      <c r="BN7" s="2">
        <v>0</v>
      </c>
      <c r="BO7" s="2">
        <v>0</v>
      </c>
      <c r="BP7" s="2">
        <v>1</v>
      </c>
      <c r="BQ7" s="2">
        <v>0</v>
      </c>
      <c r="BR7" s="2">
        <v>2</v>
      </c>
      <c r="BS7" s="2">
        <v>0</v>
      </c>
      <c r="BT7" s="2">
        <v>0</v>
      </c>
      <c r="BU7" s="2">
        <v>0</v>
      </c>
      <c r="BV7" s="2">
        <v>0</v>
      </c>
      <c r="BW7" s="2">
        <v>0</v>
      </c>
      <c r="BX7" s="2">
        <v>0</v>
      </c>
    </row>
    <row r="8" spans="1:76" x14ac:dyDescent="0.35">
      <c r="A8" s="2"/>
      <c r="B8" s="19" t="s">
        <v>52</v>
      </c>
      <c r="C8" s="2">
        <v>9578</v>
      </c>
      <c r="D8" s="2">
        <v>13355</v>
      </c>
      <c r="E8" s="2">
        <v>17880</v>
      </c>
      <c r="F8" s="2">
        <v>13205</v>
      </c>
      <c r="G8" s="2">
        <v>11655</v>
      </c>
      <c r="H8" s="2">
        <v>12827</v>
      </c>
      <c r="I8" s="2">
        <v>8581</v>
      </c>
      <c r="J8" s="2">
        <v>87081</v>
      </c>
      <c r="K8" s="2"/>
      <c r="L8" s="2"/>
      <c r="M8" s="21" t="s">
        <v>47</v>
      </c>
      <c r="N8" s="25">
        <f t="shared" si="0"/>
        <v>91303</v>
      </c>
      <c r="O8" s="25">
        <f t="shared" si="1"/>
        <v>13978</v>
      </c>
      <c r="P8" s="25">
        <f t="shared" si="2"/>
        <v>18366</v>
      </c>
      <c r="Q8" s="25">
        <f t="shared" si="3"/>
        <v>14309</v>
      </c>
      <c r="R8" s="25">
        <f t="shared" si="4"/>
        <v>13292</v>
      </c>
      <c r="S8" s="25">
        <f t="shared" si="5"/>
        <v>8902</v>
      </c>
      <c r="T8" s="25">
        <f t="shared" si="6"/>
        <v>9876</v>
      </c>
      <c r="U8" s="25">
        <f t="shared" si="7"/>
        <v>12580</v>
      </c>
      <c r="V8" s="2"/>
      <c r="W8" s="28"/>
      <c r="X8" s="19" t="s">
        <v>43</v>
      </c>
      <c r="Y8" s="2">
        <v>9810</v>
      </c>
      <c r="Z8" s="2">
        <v>1066</v>
      </c>
      <c r="AA8" s="2">
        <v>548</v>
      </c>
      <c r="AB8" s="2">
        <v>14673</v>
      </c>
      <c r="AC8" s="2">
        <v>982</v>
      </c>
      <c r="AD8" s="2">
        <v>140</v>
      </c>
      <c r="AE8" s="2">
        <v>18232</v>
      </c>
      <c r="AF8" s="2">
        <v>2046</v>
      </c>
      <c r="AG8" s="2">
        <v>682</v>
      </c>
      <c r="AH8" s="2">
        <v>13758</v>
      </c>
      <c r="AI8" s="2">
        <v>847</v>
      </c>
      <c r="AJ8" s="2">
        <v>240</v>
      </c>
      <c r="AK8" s="2">
        <v>11614</v>
      </c>
      <c r="AL8" s="2">
        <v>965</v>
      </c>
      <c r="AM8" s="2">
        <v>206</v>
      </c>
      <c r="AN8" s="2">
        <v>13316</v>
      </c>
      <c r="AO8" s="2">
        <v>891</v>
      </c>
      <c r="AP8" s="2">
        <v>317</v>
      </c>
      <c r="AQ8" s="2">
        <v>8812</v>
      </c>
      <c r="AR8" s="2">
        <v>705</v>
      </c>
      <c r="AS8" s="2">
        <v>321</v>
      </c>
      <c r="AT8" s="2">
        <v>90215</v>
      </c>
      <c r="AU8" s="2">
        <v>7502</v>
      </c>
      <c r="AV8" s="2">
        <v>2454</v>
      </c>
      <c r="AW8" s="2"/>
      <c r="AX8" s="28"/>
      <c r="AY8" s="21" t="s">
        <v>45</v>
      </c>
      <c r="AZ8" s="28">
        <f t="shared" si="8"/>
        <v>0.14659133033036406</v>
      </c>
      <c r="BA8" s="28">
        <f t="shared" si="9"/>
        <v>0.13925052147018629</v>
      </c>
      <c r="BB8" s="28">
        <f t="shared" si="10"/>
        <v>0.19647719064288494</v>
      </c>
      <c r="BC8" s="28">
        <f t="shared" si="11"/>
        <v>9.1548285263308937E-2</v>
      </c>
      <c r="BD8" s="28">
        <f t="shared" si="12"/>
        <v>0.13463482927588083</v>
      </c>
      <c r="BE8" s="28">
        <f t="shared" si="13"/>
        <v>0.1425339366515837</v>
      </c>
      <c r="BF8" s="28">
        <f t="shared" si="14"/>
        <v>0.21860560632508472</v>
      </c>
      <c r="BG8" s="28">
        <f t="shared" si="15"/>
        <v>0.1006043067495106</v>
      </c>
      <c r="BH8" s="28"/>
      <c r="BK8" s="19" t="s">
        <v>65</v>
      </c>
      <c r="BL8" s="2">
        <v>0</v>
      </c>
      <c r="BM8" s="2">
        <v>0</v>
      </c>
      <c r="BN8" s="2">
        <v>0</v>
      </c>
      <c r="BO8" s="2">
        <v>0</v>
      </c>
      <c r="BP8" s="2">
        <v>0</v>
      </c>
      <c r="BQ8" s="2">
        <v>0</v>
      </c>
      <c r="BR8" s="2">
        <v>0</v>
      </c>
      <c r="BS8" s="2">
        <v>0</v>
      </c>
      <c r="BT8" s="2">
        <v>0</v>
      </c>
      <c r="BU8" s="2">
        <v>0</v>
      </c>
      <c r="BV8" s="2">
        <v>0</v>
      </c>
      <c r="BW8" s="2">
        <v>0</v>
      </c>
      <c r="BX8" s="2">
        <v>0</v>
      </c>
    </row>
    <row r="9" spans="1:76" x14ac:dyDescent="0.35">
      <c r="A9" s="2"/>
      <c r="B9" s="19" t="s">
        <v>53</v>
      </c>
      <c r="C9" s="2">
        <v>9407</v>
      </c>
      <c r="D9" s="2">
        <v>12943</v>
      </c>
      <c r="E9" s="2">
        <v>17689</v>
      </c>
      <c r="F9" s="2">
        <v>13241</v>
      </c>
      <c r="G9" s="2">
        <v>11167</v>
      </c>
      <c r="H9" s="2">
        <v>12383</v>
      </c>
      <c r="I9" s="2">
        <v>8198</v>
      </c>
      <c r="J9" s="2">
        <v>85028</v>
      </c>
      <c r="K9" s="2"/>
      <c r="L9" s="2"/>
      <c r="M9" s="20" t="s">
        <v>48</v>
      </c>
      <c r="N9" s="25">
        <f t="shared" si="0"/>
        <v>86056</v>
      </c>
      <c r="O9" s="25">
        <f t="shared" si="1"/>
        <v>12906</v>
      </c>
      <c r="P9" s="25">
        <f t="shared" si="2"/>
        <v>17726</v>
      </c>
      <c r="Q9" s="25">
        <f t="shared" si="3"/>
        <v>13552</v>
      </c>
      <c r="R9" s="25">
        <f t="shared" si="4"/>
        <v>12792</v>
      </c>
      <c r="S9" s="25">
        <f t="shared" si="5"/>
        <v>8238</v>
      </c>
      <c r="T9" s="25">
        <f t="shared" si="6"/>
        <v>9295</v>
      </c>
      <c r="U9" s="25">
        <f t="shared" si="7"/>
        <v>11547</v>
      </c>
      <c r="V9" s="2"/>
      <c r="W9" s="28"/>
      <c r="X9" s="19" t="s">
        <v>52</v>
      </c>
      <c r="Y9" s="2">
        <v>9578</v>
      </c>
      <c r="Z9" s="2">
        <v>875</v>
      </c>
      <c r="AA9" s="2">
        <v>380</v>
      </c>
      <c r="AB9" s="2">
        <v>13355</v>
      </c>
      <c r="AC9" s="2">
        <v>706</v>
      </c>
      <c r="AD9" s="2">
        <v>81</v>
      </c>
      <c r="AE9" s="2">
        <v>17880</v>
      </c>
      <c r="AF9" s="2">
        <v>1613</v>
      </c>
      <c r="AG9" s="2">
        <v>388</v>
      </c>
      <c r="AH9" s="2">
        <v>13205</v>
      </c>
      <c r="AI9" s="2">
        <v>725</v>
      </c>
      <c r="AJ9" s="2">
        <v>166</v>
      </c>
      <c r="AK9" s="2">
        <v>11655</v>
      </c>
      <c r="AL9" s="2">
        <v>634</v>
      </c>
      <c r="AM9" s="2">
        <v>72</v>
      </c>
      <c r="AN9" s="2">
        <v>12827</v>
      </c>
      <c r="AO9" s="2">
        <v>673</v>
      </c>
      <c r="AP9" s="2">
        <v>129</v>
      </c>
      <c r="AQ9" s="2">
        <v>8581</v>
      </c>
      <c r="AR9" s="2">
        <v>752</v>
      </c>
      <c r="AS9" s="2">
        <v>445</v>
      </c>
      <c r="AT9" s="2">
        <v>87081</v>
      </c>
      <c r="AU9" s="2">
        <v>5978</v>
      </c>
      <c r="AV9" s="2">
        <v>1661</v>
      </c>
      <c r="AW9" s="2"/>
      <c r="AX9" s="28"/>
      <c r="AY9" s="21" t="s">
        <v>46</v>
      </c>
      <c r="AZ9" s="28">
        <f t="shared" si="8"/>
        <v>0.10736136008789683</v>
      </c>
      <c r="BA9" s="28">
        <f t="shared" si="9"/>
        <v>0.1239785197291618</v>
      </c>
      <c r="BB9" s="28">
        <f t="shared" si="10"/>
        <v>0.13614098305275604</v>
      </c>
      <c r="BC9" s="28">
        <f t="shared" si="11"/>
        <v>6.3340596588774514E-2</v>
      </c>
      <c r="BD9" s="28">
        <f t="shared" si="12"/>
        <v>0.10863314942886006</v>
      </c>
      <c r="BE9" s="28">
        <f t="shared" si="13"/>
        <v>7.4786074317196111E-2</v>
      </c>
      <c r="BF9" s="28">
        <f t="shared" si="14"/>
        <v>0.15580286168521462</v>
      </c>
      <c r="BG9" s="28">
        <f t="shared" si="15"/>
        <v>7.8814789514132011E-2</v>
      </c>
      <c r="BH9" s="28"/>
      <c r="BK9" s="19" t="s">
        <v>66</v>
      </c>
      <c r="BL9" s="2">
        <v>3</v>
      </c>
      <c r="BM9" s="2">
        <v>3</v>
      </c>
      <c r="BN9" s="2">
        <v>1</v>
      </c>
      <c r="BO9" s="2">
        <v>0</v>
      </c>
      <c r="BP9" s="2">
        <v>0</v>
      </c>
      <c r="BQ9" s="2">
        <v>30</v>
      </c>
      <c r="BR9" s="2">
        <v>2</v>
      </c>
      <c r="BS9" s="2">
        <v>4</v>
      </c>
      <c r="BT9" s="2">
        <v>5</v>
      </c>
      <c r="BU9" s="2">
        <v>25</v>
      </c>
      <c r="BV9" s="2">
        <v>10</v>
      </c>
      <c r="BW9" s="2">
        <v>26</v>
      </c>
      <c r="BX9" s="2">
        <v>15</v>
      </c>
    </row>
    <row r="10" spans="1:76" x14ac:dyDescent="0.35">
      <c r="A10" s="2"/>
      <c r="B10" s="19" t="s">
        <v>54</v>
      </c>
      <c r="C10" s="2">
        <v>10002</v>
      </c>
      <c r="D10" s="2">
        <v>13774</v>
      </c>
      <c r="E10" s="2">
        <v>18699</v>
      </c>
      <c r="F10" s="2">
        <v>13939</v>
      </c>
      <c r="G10" s="2">
        <v>11965</v>
      </c>
      <c r="H10" s="2">
        <v>13291</v>
      </c>
      <c r="I10" s="2">
        <v>8797</v>
      </c>
      <c r="J10" s="2">
        <v>90467</v>
      </c>
      <c r="K10" s="2"/>
      <c r="L10" s="2"/>
      <c r="M10" s="20" t="s">
        <v>49</v>
      </c>
      <c r="N10" s="25">
        <f>(VLOOKUP($M10,$B$7:$J$1048576,9, FALSE))</f>
        <v>86050</v>
      </c>
      <c r="O10" s="25">
        <f t="shared" si="1"/>
        <v>13561</v>
      </c>
      <c r="P10" s="25">
        <f t="shared" si="2"/>
        <v>17939</v>
      </c>
      <c r="Q10" s="25">
        <f t="shared" si="3"/>
        <v>13137</v>
      </c>
      <c r="R10" s="25">
        <f t="shared" si="4"/>
        <v>12633</v>
      </c>
      <c r="S10" s="25">
        <f t="shared" si="5"/>
        <v>8191</v>
      </c>
      <c r="T10" s="25">
        <f t="shared" si="6"/>
        <v>9101</v>
      </c>
      <c r="U10" s="25">
        <f t="shared" si="7"/>
        <v>11488</v>
      </c>
      <c r="V10" s="2"/>
      <c r="W10" s="28"/>
      <c r="X10" s="19" t="s">
        <v>53</v>
      </c>
      <c r="Y10" s="2">
        <v>9407</v>
      </c>
      <c r="Z10" s="2">
        <v>676</v>
      </c>
      <c r="AA10" s="2">
        <v>165</v>
      </c>
      <c r="AB10" s="2">
        <v>12943</v>
      </c>
      <c r="AC10" s="2">
        <v>870</v>
      </c>
      <c r="AD10" s="2">
        <v>41</v>
      </c>
      <c r="AE10" s="2">
        <v>17689</v>
      </c>
      <c r="AF10" s="2">
        <v>1397</v>
      </c>
      <c r="AG10" s="2">
        <v>193</v>
      </c>
      <c r="AH10" s="2">
        <v>13241</v>
      </c>
      <c r="AI10" s="2">
        <v>741</v>
      </c>
      <c r="AJ10" s="2">
        <v>158</v>
      </c>
      <c r="AK10" s="2">
        <v>11167</v>
      </c>
      <c r="AL10" s="2">
        <v>555</v>
      </c>
      <c r="AM10" s="2">
        <v>43</v>
      </c>
      <c r="AN10" s="2">
        <v>12383</v>
      </c>
      <c r="AO10" s="2">
        <v>429</v>
      </c>
      <c r="AP10" s="2">
        <v>37</v>
      </c>
      <c r="AQ10" s="2">
        <v>8198</v>
      </c>
      <c r="AR10" s="2">
        <v>465</v>
      </c>
      <c r="AS10" s="2">
        <v>251</v>
      </c>
      <c r="AT10" s="2">
        <v>85028</v>
      </c>
      <c r="AU10" s="2">
        <v>5133</v>
      </c>
      <c r="AV10" s="2">
        <v>888</v>
      </c>
      <c r="AW10" s="2"/>
      <c r="AX10" s="28"/>
      <c r="AY10" s="21" t="s">
        <v>47</v>
      </c>
      <c r="AZ10" s="28">
        <f t="shared" si="8"/>
        <v>0.159622356330022</v>
      </c>
      <c r="BA10" s="28">
        <f t="shared" si="9"/>
        <v>0.1830018600658177</v>
      </c>
      <c r="BB10" s="28">
        <f t="shared" si="10"/>
        <v>0.19830120875530871</v>
      </c>
      <c r="BC10" s="28">
        <f t="shared" si="11"/>
        <v>0.10699559717660213</v>
      </c>
      <c r="BD10" s="28">
        <f t="shared" si="12"/>
        <v>0.13451700270839603</v>
      </c>
      <c r="BE10" s="28">
        <f t="shared" si="13"/>
        <v>0.17052347787014155</v>
      </c>
      <c r="BF10" s="28">
        <f t="shared" si="14"/>
        <v>0.2131429728635075</v>
      </c>
      <c r="BG10" s="28">
        <f t="shared" si="15"/>
        <v>0.11383147853736089</v>
      </c>
      <c r="BH10" s="28"/>
      <c r="BK10" s="19" t="s">
        <v>67</v>
      </c>
      <c r="BL10" s="2">
        <v>43</v>
      </c>
      <c r="BM10" s="2">
        <v>17</v>
      </c>
      <c r="BN10" s="2">
        <v>0</v>
      </c>
      <c r="BO10" s="2">
        <v>1</v>
      </c>
      <c r="BP10" s="2">
        <v>2</v>
      </c>
      <c r="BQ10" s="2">
        <v>107</v>
      </c>
      <c r="BR10" s="2">
        <v>114</v>
      </c>
      <c r="BS10" s="2">
        <v>141</v>
      </c>
      <c r="BT10" s="2">
        <v>199</v>
      </c>
      <c r="BU10" s="2">
        <v>155</v>
      </c>
      <c r="BV10" s="2">
        <v>16</v>
      </c>
      <c r="BW10" s="2">
        <v>52</v>
      </c>
      <c r="BX10" s="2">
        <v>35</v>
      </c>
    </row>
    <row r="11" spans="1:76" x14ac:dyDescent="0.35">
      <c r="A11" s="2"/>
      <c r="B11" s="19" t="s">
        <v>55</v>
      </c>
      <c r="C11" s="2">
        <v>9562</v>
      </c>
      <c r="D11" s="2">
        <v>13475</v>
      </c>
      <c r="E11" s="2">
        <v>18091</v>
      </c>
      <c r="F11" s="2">
        <v>13564</v>
      </c>
      <c r="G11" s="2">
        <v>11881</v>
      </c>
      <c r="H11" s="2">
        <v>12769</v>
      </c>
      <c r="I11" s="2">
        <v>8733</v>
      </c>
      <c r="J11" s="2">
        <v>88075</v>
      </c>
      <c r="K11" s="2"/>
      <c r="L11" s="2"/>
      <c r="M11" s="20" t="s">
        <v>50</v>
      </c>
      <c r="N11" s="25">
        <f t="shared" si="0"/>
        <v>88787</v>
      </c>
      <c r="O11" s="25">
        <f t="shared" si="1"/>
        <v>14068</v>
      </c>
      <c r="P11" s="25">
        <f t="shared" si="2"/>
        <v>18289</v>
      </c>
      <c r="Q11" s="25">
        <f t="shared" si="3"/>
        <v>13776</v>
      </c>
      <c r="R11" s="25">
        <f t="shared" si="4"/>
        <v>13328</v>
      </c>
      <c r="S11" s="25">
        <f t="shared" si="5"/>
        <v>8287</v>
      </c>
      <c r="T11" s="25">
        <f t="shared" si="6"/>
        <v>9400</v>
      </c>
      <c r="U11" s="25">
        <f t="shared" si="7"/>
        <v>11639</v>
      </c>
      <c r="V11" s="2"/>
      <c r="W11" s="28"/>
      <c r="X11" s="19" t="s">
        <v>54</v>
      </c>
      <c r="Y11" s="2">
        <v>10002</v>
      </c>
      <c r="Z11" s="2">
        <v>885</v>
      </c>
      <c r="AA11" s="2">
        <v>151</v>
      </c>
      <c r="AB11" s="2">
        <v>13774</v>
      </c>
      <c r="AC11" s="2">
        <v>856</v>
      </c>
      <c r="AD11" s="2">
        <v>55</v>
      </c>
      <c r="AE11" s="2">
        <v>18699</v>
      </c>
      <c r="AF11" s="2">
        <v>1916</v>
      </c>
      <c r="AG11" s="2">
        <v>592</v>
      </c>
      <c r="AH11" s="2">
        <v>13939</v>
      </c>
      <c r="AI11" s="2">
        <v>875</v>
      </c>
      <c r="AJ11" s="2">
        <v>301</v>
      </c>
      <c r="AK11" s="2">
        <v>11965</v>
      </c>
      <c r="AL11" s="2">
        <v>608</v>
      </c>
      <c r="AM11" s="2">
        <v>84</v>
      </c>
      <c r="AN11" s="2">
        <v>13291</v>
      </c>
      <c r="AO11" s="2">
        <v>633</v>
      </c>
      <c r="AP11" s="2">
        <v>131</v>
      </c>
      <c r="AQ11" s="2">
        <v>8797</v>
      </c>
      <c r="AR11" s="2">
        <v>894</v>
      </c>
      <c r="AS11" s="2">
        <v>609</v>
      </c>
      <c r="AT11" s="2">
        <v>90467</v>
      </c>
      <c r="AU11" s="2">
        <v>6667</v>
      </c>
      <c r="AV11" s="2">
        <v>1923</v>
      </c>
      <c r="AW11" s="2"/>
      <c r="AX11" s="28"/>
      <c r="AY11" s="20" t="s">
        <v>48</v>
      </c>
      <c r="AZ11" s="28">
        <f t="shared" si="8"/>
        <v>0.17174862879985126</v>
      </c>
      <c r="BA11" s="28">
        <f t="shared" si="9"/>
        <v>0.18518518518518517</v>
      </c>
      <c r="BB11" s="28">
        <f t="shared" si="10"/>
        <v>0.22396479747263906</v>
      </c>
      <c r="BC11" s="28">
        <f t="shared" si="11"/>
        <v>0.10264167650531286</v>
      </c>
      <c r="BD11" s="28">
        <f t="shared" si="12"/>
        <v>0.16955909943714823</v>
      </c>
      <c r="BE11" s="28">
        <f t="shared" si="13"/>
        <v>0.17880553532410778</v>
      </c>
      <c r="BF11" s="28">
        <f t="shared" si="14"/>
        <v>0.21818181818181817</v>
      </c>
      <c r="BG11" s="28">
        <f t="shared" si="15"/>
        <v>0.11769290724863601</v>
      </c>
      <c r="BH11" s="28"/>
      <c r="BK11" s="19" t="s">
        <v>68</v>
      </c>
      <c r="BL11" s="2">
        <v>43</v>
      </c>
      <c r="BM11" s="2">
        <v>25</v>
      </c>
      <c r="BN11" s="2">
        <v>14</v>
      </c>
      <c r="BO11" s="2">
        <v>28</v>
      </c>
      <c r="BP11" s="2">
        <v>35</v>
      </c>
      <c r="BQ11" s="2">
        <v>54</v>
      </c>
      <c r="BR11" s="2">
        <v>21</v>
      </c>
      <c r="BS11" s="2">
        <v>8</v>
      </c>
      <c r="BT11" s="2">
        <v>25</v>
      </c>
      <c r="BU11" s="2">
        <v>38</v>
      </c>
      <c r="BV11" s="2">
        <v>9</v>
      </c>
      <c r="BW11" s="2">
        <v>21</v>
      </c>
      <c r="BX11" s="2">
        <v>24</v>
      </c>
    </row>
    <row r="12" spans="1:76" x14ac:dyDescent="0.35">
      <c r="A12" s="2"/>
      <c r="B12" s="19" t="s">
        <v>44</v>
      </c>
      <c r="C12" s="2">
        <v>9893</v>
      </c>
      <c r="D12" s="2">
        <v>14588</v>
      </c>
      <c r="E12" s="2">
        <v>18196</v>
      </c>
      <c r="F12" s="2">
        <v>13740</v>
      </c>
      <c r="G12" s="2">
        <v>11659</v>
      </c>
      <c r="H12" s="2">
        <v>13214</v>
      </c>
      <c r="I12" s="2">
        <v>9078</v>
      </c>
      <c r="J12" s="2">
        <v>90368</v>
      </c>
      <c r="K12" s="2"/>
      <c r="L12" s="2"/>
      <c r="M12" s="20" t="s">
        <v>51</v>
      </c>
      <c r="N12" s="25">
        <f t="shared" si="0"/>
        <v>88595</v>
      </c>
      <c r="O12" s="25">
        <f t="shared" si="1"/>
        <v>13973</v>
      </c>
      <c r="P12" s="25">
        <f t="shared" si="2"/>
        <v>17966</v>
      </c>
      <c r="Q12" s="25">
        <f t="shared" si="3"/>
        <v>13335</v>
      </c>
      <c r="R12" s="25">
        <f t="shared" si="4"/>
        <v>13199</v>
      </c>
      <c r="S12" s="25">
        <f t="shared" si="5"/>
        <v>8418</v>
      </c>
      <c r="T12" s="25">
        <f t="shared" si="6"/>
        <v>9714</v>
      </c>
      <c r="U12" s="25">
        <f t="shared" si="7"/>
        <v>11990</v>
      </c>
      <c r="V12" s="2"/>
      <c r="W12" s="28"/>
      <c r="X12" s="19" t="s">
        <v>55</v>
      </c>
      <c r="Y12" s="2">
        <v>9562</v>
      </c>
      <c r="Z12" s="2">
        <v>680</v>
      </c>
      <c r="AA12" s="2">
        <v>282</v>
      </c>
      <c r="AB12" s="2">
        <v>13475</v>
      </c>
      <c r="AC12" s="2">
        <v>593</v>
      </c>
      <c r="AD12" s="2">
        <v>45</v>
      </c>
      <c r="AE12" s="2">
        <v>18091</v>
      </c>
      <c r="AF12" s="2">
        <v>1722</v>
      </c>
      <c r="AG12" s="2">
        <v>533</v>
      </c>
      <c r="AH12" s="2">
        <v>13564</v>
      </c>
      <c r="AI12" s="2">
        <v>874</v>
      </c>
      <c r="AJ12" s="2">
        <v>273</v>
      </c>
      <c r="AK12" s="2">
        <v>11881</v>
      </c>
      <c r="AL12" s="2">
        <v>658</v>
      </c>
      <c r="AM12" s="2">
        <v>73</v>
      </c>
      <c r="AN12" s="2">
        <v>12769</v>
      </c>
      <c r="AO12" s="2">
        <v>573</v>
      </c>
      <c r="AP12" s="2">
        <v>77</v>
      </c>
      <c r="AQ12" s="2">
        <v>8733</v>
      </c>
      <c r="AR12" s="2">
        <v>544</v>
      </c>
      <c r="AS12" s="2">
        <v>311</v>
      </c>
      <c r="AT12" s="2">
        <v>88075</v>
      </c>
      <c r="AU12" s="2">
        <v>5644</v>
      </c>
      <c r="AV12" s="2">
        <v>1594</v>
      </c>
      <c r="AW12" s="2"/>
      <c r="AX12" s="28"/>
      <c r="AY12" s="20" t="s">
        <v>49</v>
      </c>
      <c r="AZ12" s="28">
        <f t="shared" si="8"/>
        <v>0.12635676932016271</v>
      </c>
      <c r="BA12" s="28">
        <f t="shared" si="9"/>
        <v>0.10183614777671263</v>
      </c>
      <c r="BB12" s="28">
        <f t="shared" si="10"/>
        <v>0.17442443837449134</v>
      </c>
      <c r="BC12" s="28">
        <f t="shared" si="11"/>
        <v>6.4246022684022228E-2</v>
      </c>
      <c r="BD12" s="28">
        <f t="shared" si="12"/>
        <v>0.11335391435130214</v>
      </c>
      <c r="BE12" s="28">
        <f t="shared" si="13"/>
        <v>0.16249542180441948</v>
      </c>
      <c r="BF12" s="28">
        <f t="shared" si="14"/>
        <v>0.1832765630150533</v>
      </c>
      <c r="BG12" s="28">
        <f t="shared" si="15"/>
        <v>9.4707520891364902E-2</v>
      </c>
      <c r="BH12" s="28"/>
      <c r="BK12" s="19" t="s">
        <v>69</v>
      </c>
      <c r="BL12" s="2">
        <v>31</v>
      </c>
      <c r="BM12" s="2">
        <v>7</v>
      </c>
      <c r="BN12" s="2">
        <v>6</v>
      </c>
      <c r="BO12" s="2">
        <v>9</v>
      </c>
      <c r="BP12" s="2">
        <v>28</v>
      </c>
      <c r="BQ12" s="2">
        <v>76</v>
      </c>
      <c r="BR12" s="2">
        <v>68</v>
      </c>
      <c r="BS12" s="2">
        <v>58</v>
      </c>
      <c r="BT12" s="2">
        <v>60</v>
      </c>
      <c r="BU12" s="2">
        <v>88</v>
      </c>
      <c r="BV12" s="2">
        <v>30</v>
      </c>
      <c r="BW12" s="2">
        <v>29</v>
      </c>
      <c r="BX12" s="2">
        <v>26</v>
      </c>
    </row>
    <row r="13" spans="1:76" x14ac:dyDescent="0.35">
      <c r="A13" s="2"/>
      <c r="B13" s="19" t="s">
        <v>45</v>
      </c>
      <c r="C13" s="2">
        <v>9739</v>
      </c>
      <c r="D13" s="2">
        <v>13903</v>
      </c>
      <c r="E13" s="2">
        <v>17997</v>
      </c>
      <c r="F13" s="2">
        <v>13938</v>
      </c>
      <c r="G13" s="2">
        <v>11749</v>
      </c>
      <c r="H13" s="2">
        <v>12857</v>
      </c>
      <c r="I13" s="2">
        <v>8840</v>
      </c>
      <c r="J13" s="2">
        <v>89023</v>
      </c>
      <c r="K13" s="2"/>
      <c r="L13" s="2"/>
      <c r="M13" s="20" t="s">
        <v>52</v>
      </c>
      <c r="N13" s="25">
        <f t="shared" si="0"/>
        <v>87081</v>
      </c>
      <c r="O13" s="25">
        <f t="shared" si="1"/>
        <v>13355</v>
      </c>
      <c r="P13" s="25">
        <f t="shared" si="2"/>
        <v>17880</v>
      </c>
      <c r="Q13" s="25">
        <f t="shared" si="3"/>
        <v>13205</v>
      </c>
      <c r="R13" s="25">
        <f t="shared" si="4"/>
        <v>12827</v>
      </c>
      <c r="S13" s="25">
        <f t="shared" si="5"/>
        <v>8581</v>
      </c>
      <c r="T13" s="25">
        <f t="shared" si="6"/>
        <v>9578</v>
      </c>
      <c r="U13" s="25">
        <f t="shared" si="7"/>
        <v>11655</v>
      </c>
      <c r="V13" s="2"/>
      <c r="W13" s="28"/>
      <c r="X13" s="19" t="s">
        <v>44</v>
      </c>
      <c r="Y13" s="2">
        <v>9893</v>
      </c>
      <c r="Z13" s="2">
        <v>1328</v>
      </c>
      <c r="AA13" s="2">
        <v>911</v>
      </c>
      <c r="AB13" s="2">
        <v>14588</v>
      </c>
      <c r="AC13" s="2">
        <v>1338</v>
      </c>
      <c r="AD13" s="2">
        <v>396</v>
      </c>
      <c r="AE13" s="2">
        <v>18196</v>
      </c>
      <c r="AF13" s="2">
        <v>2402</v>
      </c>
      <c r="AG13" s="2">
        <v>1173</v>
      </c>
      <c r="AH13" s="2">
        <v>13740</v>
      </c>
      <c r="AI13" s="2">
        <v>853</v>
      </c>
      <c r="AJ13" s="2">
        <v>302</v>
      </c>
      <c r="AK13" s="2">
        <v>11659</v>
      </c>
      <c r="AL13" s="2">
        <v>1066</v>
      </c>
      <c r="AM13" s="2">
        <v>194</v>
      </c>
      <c r="AN13" s="2">
        <v>13214</v>
      </c>
      <c r="AO13" s="2">
        <v>1019</v>
      </c>
      <c r="AP13" s="2">
        <v>602</v>
      </c>
      <c r="AQ13" s="2">
        <v>9078</v>
      </c>
      <c r="AR13" s="2">
        <v>840</v>
      </c>
      <c r="AS13" s="2">
        <v>715</v>
      </c>
      <c r="AT13" s="2">
        <v>90368</v>
      </c>
      <c r="AU13" s="2">
        <v>8846</v>
      </c>
      <c r="AV13" s="2">
        <v>4293</v>
      </c>
      <c r="AW13" s="2"/>
      <c r="AX13" s="28"/>
      <c r="AY13" s="20" t="s">
        <v>50</v>
      </c>
      <c r="AZ13" s="28">
        <f t="shared" si="8"/>
        <v>0.13006408595852997</v>
      </c>
      <c r="BA13" s="28">
        <f t="shared" si="9"/>
        <v>0.11586579471140177</v>
      </c>
      <c r="BB13" s="28">
        <f t="shared" si="10"/>
        <v>0.18442779813002352</v>
      </c>
      <c r="BC13" s="28">
        <f t="shared" si="11"/>
        <v>8.6599883855981413E-2</v>
      </c>
      <c r="BD13" s="28">
        <f t="shared" si="12"/>
        <v>7.8106242496998796E-2</v>
      </c>
      <c r="BE13" s="28">
        <f t="shared" si="13"/>
        <v>0.16025099553517558</v>
      </c>
      <c r="BF13" s="28">
        <f t="shared" si="14"/>
        <v>0.18308510638297873</v>
      </c>
      <c r="BG13" s="28">
        <f t="shared" si="15"/>
        <v>0.10842855915456655</v>
      </c>
      <c r="BH13" s="28"/>
      <c r="BK13" s="19" t="s">
        <v>307</v>
      </c>
      <c r="BL13" s="2">
        <v>26</v>
      </c>
      <c r="BM13" s="2">
        <v>27</v>
      </c>
      <c r="BN13" s="2">
        <v>13</v>
      </c>
      <c r="BO13" s="2">
        <v>10</v>
      </c>
      <c r="BP13" s="2">
        <v>5</v>
      </c>
      <c r="BQ13" s="2">
        <v>42</v>
      </c>
      <c r="BR13" s="2">
        <v>55</v>
      </c>
      <c r="BS13" s="2">
        <v>48</v>
      </c>
      <c r="BT13" s="2">
        <v>58</v>
      </c>
      <c r="BU13" s="2">
        <v>55</v>
      </c>
      <c r="BV13" s="2">
        <v>35</v>
      </c>
      <c r="BW13" s="2">
        <v>64</v>
      </c>
      <c r="BX13" s="2">
        <v>56</v>
      </c>
    </row>
    <row r="14" spans="1:76" x14ac:dyDescent="0.35">
      <c r="A14" s="2"/>
      <c r="B14" s="19" t="s">
        <v>46</v>
      </c>
      <c r="C14" s="2">
        <v>9435</v>
      </c>
      <c r="D14" s="2">
        <v>12849</v>
      </c>
      <c r="E14" s="2">
        <v>17761</v>
      </c>
      <c r="F14" s="2">
        <v>13309</v>
      </c>
      <c r="G14" s="2">
        <v>11711</v>
      </c>
      <c r="H14" s="2">
        <v>12869</v>
      </c>
      <c r="I14" s="2">
        <v>8531</v>
      </c>
      <c r="J14" s="2">
        <v>86465</v>
      </c>
      <c r="K14" s="2"/>
      <c r="L14" s="2"/>
      <c r="M14" s="20" t="s">
        <v>53</v>
      </c>
      <c r="N14" s="25">
        <f t="shared" si="0"/>
        <v>85028</v>
      </c>
      <c r="O14" s="25">
        <f t="shared" si="1"/>
        <v>12943</v>
      </c>
      <c r="P14" s="25">
        <f t="shared" si="2"/>
        <v>17689</v>
      </c>
      <c r="Q14" s="25">
        <f t="shared" si="3"/>
        <v>13241</v>
      </c>
      <c r="R14" s="25">
        <f t="shared" si="4"/>
        <v>12383</v>
      </c>
      <c r="S14" s="25">
        <f t="shared" si="5"/>
        <v>8198</v>
      </c>
      <c r="T14" s="25">
        <f t="shared" si="6"/>
        <v>9407</v>
      </c>
      <c r="U14" s="25">
        <f t="shared" si="7"/>
        <v>11167</v>
      </c>
      <c r="V14" s="2"/>
      <c r="W14" s="28"/>
      <c r="X14" s="19" t="s">
        <v>45</v>
      </c>
      <c r="Y14" s="2">
        <v>9739</v>
      </c>
      <c r="Z14" s="2">
        <v>1184</v>
      </c>
      <c r="AA14" s="2">
        <v>945</v>
      </c>
      <c r="AB14" s="2">
        <v>13903</v>
      </c>
      <c r="AC14" s="2">
        <v>1415</v>
      </c>
      <c r="AD14" s="2">
        <v>521</v>
      </c>
      <c r="AE14" s="2">
        <v>17997</v>
      </c>
      <c r="AF14" s="2">
        <v>2478</v>
      </c>
      <c r="AG14" s="2">
        <v>1058</v>
      </c>
      <c r="AH14" s="2">
        <v>13938</v>
      </c>
      <c r="AI14" s="2">
        <v>933</v>
      </c>
      <c r="AJ14" s="2">
        <v>343</v>
      </c>
      <c r="AK14" s="2">
        <v>11749</v>
      </c>
      <c r="AL14" s="2">
        <v>926</v>
      </c>
      <c r="AM14" s="2">
        <v>256</v>
      </c>
      <c r="AN14" s="2">
        <v>12857</v>
      </c>
      <c r="AO14" s="2">
        <v>1138</v>
      </c>
      <c r="AP14" s="2">
        <v>593</v>
      </c>
      <c r="AQ14" s="2">
        <v>8840</v>
      </c>
      <c r="AR14" s="2">
        <v>769</v>
      </c>
      <c r="AS14" s="2">
        <v>491</v>
      </c>
      <c r="AT14" s="2">
        <v>89023</v>
      </c>
      <c r="AU14" s="2">
        <v>8843</v>
      </c>
      <c r="AV14" s="2">
        <v>4207</v>
      </c>
      <c r="AW14" s="2"/>
      <c r="AX14" s="28"/>
      <c r="AY14" s="20" t="s">
        <v>51</v>
      </c>
      <c r="AZ14" s="28">
        <f t="shared" si="8"/>
        <v>0.10975788701393983</v>
      </c>
      <c r="BA14" s="28">
        <f t="shared" si="9"/>
        <v>0.1001932298003292</v>
      </c>
      <c r="BB14" s="28">
        <f t="shared" si="10"/>
        <v>0.15846599131693198</v>
      </c>
      <c r="BC14" s="28">
        <f t="shared" si="11"/>
        <v>7.9415073115860518E-2</v>
      </c>
      <c r="BD14" s="28">
        <f t="shared" si="12"/>
        <v>6.1140995529964388E-2</v>
      </c>
      <c r="BE14" s="28">
        <f t="shared" si="13"/>
        <v>0.11344737467331908</v>
      </c>
      <c r="BF14" s="28">
        <f t="shared" si="14"/>
        <v>0.16903438336421658</v>
      </c>
      <c r="BG14" s="28">
        <f t="shared" si="15"/>
        <v>8.4570475396163469E-2</v>
      </c>
      <c r="BH14" s="28"/>
      <c r="BK14" s="19" t="s">
        <v>70</v>
      </c>
      <c r="BL14" s="2">
        <v>0</v>
      </c>
      <c r="BM14" s="2">
        <v>0</v>
      </c>
      <c r="BN14" s="2">
        <v>0</v>
      </c>
      <c r="BO14" s="2">
        <v>0</v>
      </c>
      <c r="BP14" s="2">
        <v>0</v>
      </c>
      <c r="BQ14" s="2">
        <v>3</v>
      </c>
      <c r="BR14" s="2">
        <v>5</v>
      </c>
      <c r="BS14" s="2">
        <v>0</v>
      </c>
      <c r="BT14" s="2">
        <v>0</v>
      </c>
      <c r="BU14" s="2">
        <v>2</v>
      </c>
      <c r="BV14" s="2">
        <v>1</v>
      </c>
      <c r="BW14" s="2">
        <v>2</v>
      </c>
      <c r="BX14" s="2">
        <v>0</v>
      </c>
    </row>
    <row r="15" spans="1:76" x14ac:dyDescent="0.35">
      <c r="A15" s="2"/>
      <c r="B15" s="19" t="s">
        <v>47</v>
      </c>
      <c r="C15" s="2">
        <v>9876</v>
      </c>
      <c r="D15" s="2">
        <v>13978</v>
      </c>
      <c r="E15" s="2">
        <v>18366</v>
      </c>
      <c r="F15" s="2">
        <v>14309</v>
      </c>
      <c r="G15" s="2">
        <v>12580</v>
      </c>
      <c r="H15" s="2">
        <v>13292</v>
      </c>
      <c r="I15" s="2">
        <v>8902</v>
      </c>
      <c r="J15" s="2">
        <v>91303</v>
      </c>
      <c r="K15" s="2"/>
      <c r="L15" s="2"/>
      <c r="M15" s="20" t="s">
        <v>54</v>
      </c>
      <c r="N15" s="25">
        <f t="shared" si="0"/>
        <v>90467</v>
      </c>
      <c r="O15" s="25">
        <f t="shared" si="1"/>
        <v>13774</v>
      </c>
      <c r="P15" s="25">
        <f t="shared" si="2"/>
        <v>18699</v>
      </c>
      <c r="Q15" s="25">
        <f t="shared" si="3"/>
        <v>13939</v>
      </c>
      <c r="R15" s="25">
        <f t="shared" si="4"/>
        <v>13291</v>
      </c>
      <c r="S15" s="25">
        <f t="shared" si="5"/>
        <v>8797</v>
      </c>
      <c r="T15" s="25">
        <f t="shared" si="6"/>
        <v>10002</v>
      </c>
      <c r="U15" s="25">
        <f t="shared" si="7"/>
        <v>11965</v>
      </c>
      <c r="V15" s="2"/>
      <c r="W15" s="28"/>
      <c r="X15" s="19" t="s">
        <v>46</v>
      </c>
      <c r="Y15" s="2">
        <v>9435</v>
      </c>
      <c r="Z15" s="2">
        <v>953</v>
      </c>
      <c r="AA15" s="2">
        <v>517</v>
      </c>
      <c r="AB15" s="2">
        <v>12849</v>
      </c>
      <c r="AC15" s="2">
        <v>1093</v>
      </c>
      <c r="AD15" s="2">
        <v>500</v>
      </c>
      <c r="AE15" s="2">
        <v>17761</v>
      </c>
      <c r="AF15" s="2">
        <v>1844</v>
      </c>
      <c r="AG15" s="2">
        <v>574</v>
      </c>
      <c r="AH15" s="2">
        <v>13309</v>
      </c>
      <c r="AI15" s="2">
        <v>694</v>
      </c>
      <c r="AJ15" s="2">
        <v>149</v>
      </c>
      <c r="AK15" s="2">
        <v>11711</v>
      </c>
      <c r="AL15" s="2">
        <v>791</v>
      </c>
      <c r="AM15" s="2">
        <v>132</v>
      </c>
      <c r="AN15" s="2">
        <v>12869</v>
      </c>
      <c r="AO15" s="2">
        <v>872</v>
      </c>
      <c r="AP15" s="2">
        <v>526</v>
      </c>
      <c r="AQ15" s="2">
        <v>8531</v>
      </c>
      <c r="AR15" s="2">
        <v>481</v>
      </c>
      <c r="AS15" s="2">
        <v>157</v>
      </c>
      <c r="AT15" s="2">
        <v>86465</v>
      </c>
      <c r="AU15" s="2">
        <v>6728</v>
      </c>
      <c r="AV15" s="2">
        <v>2555</v>
      </c>
      <c r="AW15" s="2"/>
      <c r="AX15" s="28"/>
      <c r="AY15" s="20" t="s">
        <v>52</v>
      </c>
      <c r="AZ15" s="28">
        <f t="shared" si="8"/>
        <v>8.7722924633387309E-2</v>
      </c>
      <c r="BA15" s="28">
        <f t="shared" si="9"/>
        <v>5.8929239985024334E-2</v>
      </c>
      <c r="BB15" s="28">
        <f t="shared" si="10"/>
        <v>0.11191275167785235</v>
      </c>
      <c r="BC15" s="28">
        <f t="shared" si="11"/>
        <v>6.7474441499432034E-2</v>
      </c>
      <c r="BD15" s="28">
        <f t="shared" si="12"/>
        <v>6.2524362672487718E-2</v>
      </c>
      <c r="BE15" s="28">
        <f t="shared" si="13"/>
        <v>0.13949423144155693</v>
      </c>
      <c r="BF15" s="28">
        <f t="shared" si="14"/>
        <v>0.13102944247233242</v>
      </c>
      <c r="BG15" s="28">
        <f t="shared" si="15"/>
        <v>6.0574860574860577E-2</v>
      </c>
      <c r="BH15" s="28"/>
      <c r="BK15" s="19" t="s">
        <v>71</v>
      </c>
      <c r="BL15" s="2">
        <v>7</v>
      </c>
      <c r="BM15" s="2">
        <v>0</v>
      </c>
      <c r="BN15" s="2">
        <v>0</v>
      </c>
      <c r="BO15" s="2">
        <v>12</v>
      </c>
      <c r="BP15" s="2">
        <v>9</v>
      </c>
      <c r="BQ15" s="2">
        <v>10</v>
      </c>
      <c r="BR15" s="2">
        <v>20</v>
      </c>
      <c r="BS15" s="2">
        <v>7</v>
      </c>
      <c r="BT15" s="2">
        <v>7</v>
      </c>
      <c r="BU15" s="2">
        <v>10</v>
      </c>
      <c r="BV15" s="2">
        <v>12</v>
      </c>
      <c r="BW15" s="2">
        <v>4</v>
      </c>
      <c r="BX15" s="2">
        <v>0</v>
      </c>
    </row>
    <row r="16" spans="1:76" x14ac:dyDescent="0.35">
      <c r="A16" s="2"/>
      <c r="B16" s="19" t="s">
        <v>48</v>
      </c>
      <c r="C16" s="2">
        <v>9295</v>
      </c>
      <c r="D16" s="2">
        <v>12906</v>
      </c>
      <c r="E16" s="2">
        <v>17726</v>
      </c>
      <c r="F16" s="2">
        <v>13552</v>
      </c>
      <c r="G16" s="2">
        <v>11547</v>
      </c>
      <c r="H16" s="2">
        <v>12792</v>
      </c>
      <c r="I16" s="2">
        <v>8238</v>
      </c>
      <c r="J16" s="2">
        <v>86056</v>
      </c>
      <c r="K16" s="2"/>
      <c r="L16" s="2"/>
      <c r="M16" s="20" t="s">
        <v>55</v>
      </c>
      <c r="N16" s="25">
        <f t="shared" si="0"/>
        <v>88075</v>
      </c>
      <c r="O16" s="25">
        <f>(VLOOKUP($M16,$B$7:$J$1048576,3, FALSE))</f>
        <v>13475</v>
      </c>
      <c r="P16" s="25">
        <f t="shared" si="2"/>
        <v>18091</v>
      </c>
      <c r="Q16" s="25">
        <f t="shared" si="3"/>
        <v>13564</v>
      </c>
      <c r="R16" s="25">
        <f t="shared" si="4"/>
        <v>12769</v>
      </c>
      <c r="S16" s="25">
        <f t="shared" si="5"/>
        <v>8733</v>
      </c>
      <c r="T16" s="25">
        <f t="shared" si="6"/>
        <v>9562</v>
      </c>
      <c r="U16" s="25">
        <f t="shared" si="7"/>
        <v>11881</v>
      </c>
      <c r="V16" s="2"/>
      <c r="W16" s="28"/>
      <c r="X16" s="19" t="s">
        <v>47</v>
      </c>
      <c r="Y16" s="2">
        <v>9876</v>
      </c>
      <c r="Z16" s="2">
        <v>1174</v>
      </c>
      <c r="AA16" s="2">
        <v>931</v>
      </c>
      <c r="AB16" s="2">
        <v>13978</v>
      </c>
      <c r="AC16" s="2">
        <v>1686</v>
      </c>
      <c r="AD16" s="2">
        <v>872</v>
      </c>
      <c r="AE16" s="2">
        <v>18366</v>
      </c>
      <c r="AF16" s="2">
        <v>2349</v>
      </c>
      <c r="AG16" s="2">
        <v>1293</v>
      </c>
      <c r="AH16" s="2">
        <v>14309</v>
      </c>
      <c r="AI16" s="2">
        <v>1040</v>
      </c>
      <c r="AJ16" s="2">
        <v>491</v>
      </c>
      <c r="AK16" s="2">
        <v>12580</v>
      </c>
      <c r="AL16" s="2">
        <v>1108</v>
      </c>
      <c r="AM16" s="2">
        <v>324</v>
      </c>
      <c r="AN16" s="2">
        <v>13292</v>
      </c>
      <c r="AO16" s="2">
        <v>1051</v>
      </c>
      <c r="AP16" s="2">
        <v>737</v>
      </c>
      <c r="AQ16" s="2">
        <v>8902</v>
      </c>
      <c r="AR16" s="2">
        <v>848</v>
      </c>
      <c r="AS16" s="2">
        <v>670</v>
      </c>
      <c r="AT16" s="2">
        <v>91303</v>
      </c>
      <c r="AU16" s="2">
        <v>9256</v>
      </c>
      <c r="AV16" s="2">
        <v>5318</v>
      </c>
      <c r="AW16" s="2"/>
      <c r="AX16" s="28"/>
      <c r="AY16" s="20" t="s">
        <v>53</v>
      </c>
      <c r="AZ16" s="28">
        <f t="shared" si="8"/>
        <v>7.0811967822364402E-2</v>
      </c>
      <c r="BA16" s="28">
        <f t="shared" si="9"/>
        <v>7.0385536583481415E-2</v>
      </c>
      <c r="BB16" s="28">
        <f t="shared" si="10"/>
        <v>8.9886370060489565E-2</v>
      </c>
      <c r="BC16" s="28">
        <f t="shared" si="11"/>
        <v>6.789517408050752E-2</v>
      </c>
      <c r="BD16" s="28">
        <f t="shared" si="12"/>
        <v>3.763223774529597E-2</v>
      </c>
      <c r="BE16" s="28">
        <f t="shared" si="13"/>
        <v>8.7338375213466699E-2</v>
      </c>
      <c r="BF16" s="28">
        <f t="shared" si="14"/>
        <v>8.9401509514191554E-2</v>
      </c>
      <c r="BG16" s="28">
        <f t="shared" si="15"/>
        <v>5.3550640279394643E-2</v>
      </c>
      <c r="BH16" s="28"/>
      <c r="BK16" s="19" t="s">
        <v>72</v>
      </c>
      <c r="BL16" s="2">
        <v>29</v>
      </c>
      <c r="BM16" s="2">
        <v>5</v>
      </c>
      <c r="BN16" s="2">
        <v>1</v>
      </c>
      <c r="BO16" s="2">
        <v>5</v>
      </c>
      <c r="BP16" s="2">
        <v>6</v>
      </c>
      <c r="BQ16" s="2">
        <v>11</v>
      </c>
      <c r="BR16" s="2">
        <v>57</v>
      </c>
      <c r="BS16" s="2">
        <v>38</v>
      </c>
      <c r="BT16" s="2">
        <v>37</v>
      </c>
      <c r="BU16" s="2">
        <v>35</v>
      </c>
      <c r="BV16" s="2">
        <v>23</v>
      </c>
      <c r="BW16" s="2">
        <v>26</v>
      </c>
      <c r="BX16" s="2">
        <v>12</v>
      </c>
    </row>
    <row r="17" spans="1:76" x14ac:dyDescent="0.35">
      <c r="A17" s="2"/>
      <c r="B17" s="19" t="s">
        <v>49</v>
      </c>
      <c r="C17" s="2">
        <v>9101</v>
      </c>
      <c r="D17" s="2">
        <v>13561</v>
      </c>
      <c r="E17" s="2">
        <v>17939</v>
      </c>
      <c r="F17" s="2">
        <v>13137</v>
      </c>
      <c r="G17" s="2">
        <v>11488</v>
      </c>
      <c r="H17" s="2">
        <v>12633</v>
      </c>
      <c r="I17" s="2">
        <v>8191</v>
      </c>
      <c r="J17" s="2">
        <v>86050</v>
      </c>
      <c r="K17" s="2"/>
      <c r="L17" s="2"/>
      <c r="M17" s="20"/>
      <c r="N17" s="25"/>
      <c r="O17" s="25"/>
      <c r="P17" s="25"/>
      <c r="Q17" s="25"/>
      <c r="R17" s="25"/>
      <c r="S17" s="25"/>
      <c r="T17" s="26"/>
      <c r="U17" s="2"/>
      <c r="V17" s="2"/>
      <c r="W17" s="28"/>
      <c r="X17" s="19" t="s">
        <v>48</v>
      </c>
      <c r="Y17" s="2">
        <v>9295</v>
      </c>
      <c r="Z17" s="2">
        <v>1142</v>
      </c>
      <c r="AA17" s="2">
        <v>886</v>
      </c>
      <c r="AB17" s="2">
        <v>12906</v>
      </c>
      <c r="AC17" s="2">
        <v>1565</v>
      </c>
      <c r="AD17" s="2">
        <v>825</v>
      </c>
      <c r="AE17" s="2">
        <v>17726</v>
      </c>
      <c r="AF17" s="2">
        <v>2462</v>
      </c>
      <c r="AG17" s="2">
        <v>1508</v>
      </c>
      <c r="AH17" s="2">
        <v>13552</v>
      </c>
      <c r="AI17" s="2">
        <v>958</v>
      </c>
      <c r="AJ17" s="2">
        <v>433</v>
      </c>
      <c r="AK17" s="2">
        <v>11547</v>
      </c>
      <c r="AL17" s="2">
        <v>1054</v>
      </c>
      <c r="AM17" s="2">
        <v>305</v>
      </c>
      <c r="AN17" s="2">
        <v>12792</v>
      </c>
      <c r="AO17" s="2">
        <v>1317</v>
      </c>
      <c r="AP17" s="2">
        <v>852</v>
      </c>
      <c r="AQ17" s="2">
        <v>8238</v>
      </c>
      <c r="AR17" s="2">
        <v>769</v>
      </c>
      <c r="AS17" s="2">
        <v>704</v>
      </c>
      <c r="AT17" s="2">
        <v>86056</v>
      </c>
      <c r="AU17" s="2">
        <v>9267</v>
      </c>
      <c r="AV17" s="2">
        <v>5513</v>
      </c>
      <c r="AW17" s="2"/>
      <c r="AX17" s="28"/>
      <c r="AY17" s="20" t="s">
        <v>54</v>
      </c>
      <c r="AZ17" s="28">
        <f t="shared" si="8"/>
        <v>9.4951750362010451E-2</v>
      </c>
      <c r="BA17" s="28">
        <f t="shared" si="9"/>
        <v>6.613910265718019E-2</v>
      </c>
      <c r="BB17" s="28">
        <f t="shared" si="10"/>
        <v>0.13412481950906466</v>
      </c>
      <c r="BC17" s="28">
        <f t="shared" si="11"/>
        <v>8.4367601693091321E-2</v>
      </c>
      <c r="BD17" s="28">
        <f t="shared" si="12"/>
        <v>5.7482506959596717E-2</v>
      </c>
      <c r="BE17" s="28">
        <f t="shared" si="13"/>
        <v>0.17085370012504264</v>
      </c>
      <c r="BF17" s="28">
        <f t="shared" si="14"/>
        <v>0.10357928414317137</v>
      </c>
      <c r="BG17" s="28">
        <f t="shared" si="15"/>
        <v>5.7835353113246973E-2</v>
      </c>
      <c r="BH17" s="28"/>
      <c r="BK17" s="19" t="s">
        <v>73</v>
      </c>
      <c r="BL17" s="2">
        <v>0</v>
      </c>
      <c r="BM17" s="2">
        <v>2</v>
      </c>
      <c r="BN17" s="2">
        <v>5</v>
      </c>
      <c r="BO17" s="2">
        <v>9</v>
      </c>
      <c r="BP17" s="2">
        <v>3</v>
      </c>
      <c r="BQ17" s="2">
        <v>0</v>
      </c>
      <c r="BR17" s="2">
        <v>3</v>
      </c>
      <c r="BS17" s="2">
        <v>1</v>
      </c>
      <c r="BT17" s="2">
        <v>1</v>
      </c>
      <c r="BU17" s="2">
        <v>1</v>
      </c>
      <c r="BV17" s="2">
        <v>0</v>
      </c>
      <c r="BW17" s="2">
        <v>7</v>
      </c>
      <c r="BX17" s="2">
        <v>3</v>
      </c>
    </row>
    <row r="18" spans="1:76" x14ac:dyDescent="0.35">
      <c r="A18" s="2"/>
      <c r="B18" s="19" t="s">
        <v>50</v>
      </c>
      <c r="C18" s="2">
        <v>9400</v>
      </c>
      <c r="D18" s="2">
        <v>14068</v>
      </c>
      <c r="E18" s="2">
        <v>18289</v>
      </c>
      <c r="F18" s="2">
        <v>13776</v>
      </c>
      <c r="G18" s="2">
        <v>11639</v>
      </c>
      <c r="H18" s="2">
        <v>13328</v>
      </c>
      <c r="I18" s="2">
        <v>8287</v>
      </c>
      <c r="J18" s="2">
        <v>88787</v>
      </c>
      <c r="K18" s="2"/>
      <c r="L18" s="2"/>
      <c r="M18" s="2"/>
      <c r="N18" s="2"/>
      <c r="O18" s="2"/>
      <c r="P18" s="2"/>
      <c r="Q18" s="2"/>
      <c r="R18" s="2"/>
      <c r="S18" s="2"/>
      <c r="T18" s="2"/>
      <c r="U18" s="2"/>
      <c r="V18" s="2"/>
      <c r="X18" s="19" t="s">
        <v>49</v>
      </c>
      <c r="Y18" s="2">
        <v>9101</v>
      </c>
      <c r="Z18" s="2">
        <v>1099</v>
      </c>
      <c r="AA18" s="2">
        <v>569</v>
      </c>
      <c r="AB18" s="2">
        <v>13561</v>
      </c>
      <c r="AC18" s="2">
        <v>1103</v>
      </c>
      <c r="AD18" s="2">
        <v>278</v>
      </c>
      <c r="AE18" s="2">
        <v>17939</v>
      </c>
      <c r="AF18" s="2">
        <v>2045</v>
      </c>
      <c r="AG18" s="2">
        <v>1084</v>
      </c>
      <c r="AH18" s="2">
        <v>13137</v>
      </c>
      <c r="AI18" s="2">
        <v>721</v>
      </c>
      <c r="AJ18" s="2">
        <v>123</v>
      </c>
      <c r="AK18" s="2">
        <v>11488</v>
      </c>
      <c r="AL18" s="2">
        <v>878</v>
      </c>
      <c r="AM18" s="2">
        <v>210</v>
      </c>
      <c r="AN18" s="2">
        <v>12633</v>
      </c>
      <c r="AO18" s="2">
        <v>977</v>
      </c>
      <c r="AP18" s="2">
        <v>455</v>
      </c>
      <c r="AQ18" s="2">
        <v>8191</v>
      </c>
      <c r="AR18" s="2">
        <v>717</v>
      </c>
      <c r="AS18" s="2">
        <v>614</v>
      </c>
      <c r="AT18" s="2">
        <v>86050</v>
      </c>
      <c r="AU18" s="2">
        <v>7540</v>
      </c>
      <c r="AV18" s="2">
        <v>3333</v>
      </c>
      <c r="AW18" s="2"/>
      <c r="AY18" s="20" t="s">
        <v>55</v>
      </c>
      <c r="AZ18" s="28">
        <f t="shared" si="8"/>
        <v>8.2179960261141077E-2</v>
      </c>
      <c r="BA18" s="28">
        <f t="shared" si="9"/>
        <v>4.7346938775510203E-2</v>
      </c>
      <c r="BB18" s="28">
        <f t="shared" si="10"/>
        <v>0.12464761483610635</v>
      </c>
      <c r="BC18" s="28">
        <f t="shared" si="11"/>
        <v>8.4562076083751103E-2</v>
      </c>
      <c r="BD18" s="28">
        <f t="shared" si="12"/>
        <v>5.0904534419296738E-2</v>
      </c>
      <c r="BE18" s="28">
        <f t="shared" si="13"/>
        <v>9.7904500171762276E-2</v>
      </c>
      <c r="BF18" s="28">
        <f t="shared" si="14"/>
        <v>0.10060656766366868</v>
      </c>
      <c r="BG18" s="28">
        <f t="shared" si="15"/>
        <v>6.1526807507785539E-2</v>
      </c>
      <c r="BH18" s="28"/>
      <c r="BK18" s="19" t="s">
        <v>74</v>
      </c>
      <c r="BL18" s="2">
        <v>22</v>
      </c>
      <c r="BM18" s="2">
        <v>14</v>
      </c>
      <c r="BN18" s="2">
        <v>11</v>
      </c>
      <c r="BO18" s="2">
        <v>28</v>
      </c>
      <c r="BP18" s="2">
        <v>10</v>
      </c>
      <c r="BQ18" s="2">
        <v>40</v>
      </c>
      <c r="BR18" s="2">
        <v>52</v>
      </c>
      <c r="BS18" s="2">
        <v>30</v>
      </c>
      <c r="BT18" s="2">
        <v>36</v>
      </c>
      <c r="BU18" s="2">
        <v>67</v>
      </c>
      <c r="BV18" s="2">
        <v>39</v>
      </c>
      <c r="BW18" s="2">
        <v>22</v>
      </c>
      <c r="BX18" s="2">
        <v>12</v>
      </c>
    </row>
    <row r="19" spans="1:76" x14ac:dyDescent="0.35">
      <c r="A19" s="2"/>
      <c r="B19" s="19" t="s">
        <v>51</v>
      </c>
      <c r="C19" s="2">
        <v>9714</v>
      </c>
      <c r="D19" s="2">
        <v>13973</v>
      </c>
      <c r="E19" s="2">
        <v>17966</v>
      </c>
      <c r="F19" s="2">
        <v>13335</v>
      </c>
      <c r="G19" s="2">
        <v>11990</v>
      </c>
      <c r="H19" s="2">
        <v>13199</v>
      </c>
      <c r="I19" s="2">
        <v>8418</v>
      </c>
      <c r="J19" s="2">
        <v>88595</v>
      </c>
      <c r="K19" s="2"/>
      <c r="L19" s="2"/>
      <c r="M19" s="2"/>
      <c r="N19" s="2"/>
      <c r="O19" s="2"/>
      <c r="P19" s="2"/>
      <c r="Q19" s="2"/>
      <c r="R19" s="2"/>
      <c r="S19" s="2"/>
      <c r="T19" s="2"/>
      <c r="U19" s="2"/>
      <c r="V19" s="2"/>
      <c r="X19" s="19" t="s">
        <v>50</v>
      </c>
      <c r="Y19" s="2">
        <v>9400</v>
      </c>
      <c r="Z19" s="2">
        <v>1190</v>
      </c>
      <c r="AA19" s="2">
        <v>531</v>
      </c>
      <c r="AB19" s="2">
        <v>14068</v>
      </c>
      <c r="AC19" s="2">
        <v>1323</v>
      </c>
      <c r="AD19" s="2">
        <v>307</v>
      </c>
      <c r="AE19" s="2">
        <v>18289</v>
      </c>
      <c r="AF19" s="2">
        <v>2274</v>
      </c>
      <c r="AG19" s="2">
        <v>1099</v>
      </c>
      <c r="AH19" s="2">
        <v>13776</v>
      </c>
      <c r="AI19" s="2">
        <v>935</v>
      </c>
      <c r="AJ19" s="2">
        <v>258</v>
      </c>
      <c r="AK19" s="2">
        <v>11639</v>
      </c>
      <c r="AL19" s="2">
        <v>972</v>
      </c>
      <c r="AM19" s="2">
        <v>290</v>
      </c>
      <c r="AN19" s="2">
        <v>13328</v>
      </c>
      <c r="AO19" s="2">
        <v>799</v>
      </c>
      <c r="AP19" s="2">
        <v>242</v>
      </c>
      <c r="AQ19" s="2">
        <v>8287</v>
      </c>
      <c r="AR19" s="2">
        <v>772</v>
      </c>
      <c r="AS19" s="2">
        <v>556</v>
      </c>
      <c r="AT19" s="2">
        <v>88787</v>
      </c>
      <c r="AU19" s="2">
        <v>8265</v>
      </c>
      <c r="AV19" s="2">
        <v>3283</v>
      </c>
      <c r="AW19" s="2"/>
      <c r="AY19" s="20"/>
      <c r="AZ19" s="28"/>
      <c r="BA19" s="28"/>
      <c r="BB19" s="28"/>
      <c r="BC19" s="28"/>
      <c r="BD19" s="28"/>
      <c r="BE19" s="28"/>
      <c r="BF19" s="28"/>
      <c r="BG19" s="28"/>
      <c r="BH19" s="28"/>
      <c r="BK19" s="19" t="s">
        <v>75</v>
      </c>
      <c r="BL19" s="2">
        <v>10</v>
      </c>
      <c r="BM19" s="2">
        <v>33</v>
      </c>
      <c r="BN19" s="2">
        <v>4</v>
      </c>
      <c r="BO19" s="2">
        <v>3</v>
      </c>
      <c r="BP19" s="2">
        <v>3</v>
      </c>
      <c r="BQ19" s="2">
        <v>24</v>
      </c>
      <c r="BR19" s="2">
        <v>36</v>
      </c>
      <c r="BS19" s="2">
        <v>1</v>
      </c>
      <c r="BT19" s="2">
        <v>28</v>
      </c>
      <c r="BU19" s="2">
        <v>30</v>
      </c>
      <c r="BV19" s="2">
        <v>11</v>
      </c>
      <c r="BW19" s="2">
        <v>17</v>
      </c>
      <c r="BX19" s="2">
        <v>8</v>
      </c>
    </row>
    <row r="20" spans="1:76" x14ac:dyDescent="0.35">
      <c r="A20" s="2"/>
      <c r="H20" s="2"/>
      <c r="I20" s="2"/>
      <c r="J20" s="2"/>
      <c r="K20" s="2"/>
      <c r="L20" s="2"/>
      <c r="M20" s="2"/>
      <c r="N20" s="2"/>
      <c r="O20" s="2"/>
      <c r="P20" s="2"/>
      <c r="Q20" s="2"/>
      <c r="R20" s="2"/>
      <c r="S20" s="2"/>
      <c r="T20" s="2"/>
      <c r="U20" s="2"/>
      <c r="V20" s="2"/>
      <c r="X20" s="19" t="s">
        <v>51</v>
      </c>
      <c r="Y20" s="2">
        <v>9714</v>
      </c>
      <c r="Z20" s="2">
        <v>1161</v>
      </c>
      <c r="AA20" s="2">
        <v>481</v>
      </c>
      <c r="AB20" s="2">
        <v>13973</v>
      </c>
      <c r="AC20" s="2">
        <v>1202</v>
      </c>
      <c r="AD20" s="2">
        <v>198</v>
      </c>
      <c r="AE20" s="2">
        <v>17966</v>
      </c>
      <c r="AF20" s="2">
        <v>2068</v>
      </c>
      <c r="AG20" s="2">
        <v>779</v>
      </c>
      <c r="AH20" s="2">
        <v>13335</v>
      </c>
      <c r="AI20" s="2">
        <v>808</v>
      </c>
      <c r="AJ20" s="2">
        <v>251</v>
      </c>
      <c r="AK20" s="2">
        <v>11990</v>
      </c>
      <c r="AL20" s="2">
        <v>835</v>
      </c>
      <c r="AM20" s="2">
        <v>179</v>
      </c>
      <c r="AN20" s="2">
        <v>13199</v>
      </c>
      <c r="AO20" s="2">
        <v>671</v>
      </c>
      <c r="AP20" s="2">
        <v>136</v>
      </c>
      <c r="AQ20" s="2">
        <v>8418</v>
      </c>
      <c r="AR20" s="2">
        <v>640</v>
      </c>
      <c r="AS20" s="2">
        <v>315</v>
      </c>
      <c r="AT20" s="2">
        <v>88595</v>
      </c>
      <c r="AU20" s="2">
        <v>7385</v>
      </c>
      <c r="AV20" s="2">
        <v>2339</v>
      </c>
      <c r="AW20" s="2"/>
      <c r="BK20" s="19" t="s">
        <v>76</v>
      </c>
      <c r="BL20" s="2">
        <v>0</v>
      </c>
      <c r="BM20" s="2">
        <v>0</v>
      </c>
      <c r="BN20" s="2">
        <v>0</v>
      </c>
      <c r="BO20" s="2">
        <v>1</v>
      </c>
      <c r="BP20" s="2">
        <v>1</v>
      </c>
      <c r="BQ20" s="2">
        <v>0</v>
      </c>
      <c r="BR20" s="2">
        <v>2</v>
      </c>
      <c r="BS20" s="2">
        <v>1</v>
      </c>
      <c r="BT20" s="2">
        <v>1</v>
      </c>
      <c r="BU20" s="2">
        <v>0</v>
      </c>
      <c r="BV20" s="2">
        <v>0</v>
      </c>
      <c r="BW20" s="2">
        <v>1</v>
      </c>
      <c r="BX20" s="2">
        <v>2</v>
      </c>
    </row>
    <row r="21" spans="1:76" x14ac:dyDescent="0.35">
      <c r="BK21" s="19" t="s">
        <v>77</v>
      </c>
      <c r="BL21" s="2">
        <v>32</v>
      </c>
      <c r="BM21" s="2">
        <v>19</v>
      </c>
      <c r="BN21" s="2">
        <v>9</v>
      </c>
      <c r="BO21" s="2">
        <v>1</v>
      </c>
      <c r="BP21" s="2">
        <v>47</v>
      </c>
      <c r="BQ21" s="2">
        <v>62</v>
      </c>
      <c r="BR21" s="2">
        <v>49</v>
      </c>
      <c r="BS21" s="2">
        <v>6</v>
      </c>
      <c r="BT21" s="2">
        <v>32</v>
      </c>
      <c r="BU21" s="2">
        <v>37</v>
      </c>
      <c r="BV21" s="2">
        <v>14</v>
      </c>
      <c r="BW21" s="2">
        <v>9</v>
      </c>
      <c r="BX21" s="2">
        <v>22</v>
      </c>
    </row>
    <row r="22" spans="1:76" x14ac:dyDescent="0.35">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Z22" t="s">
        <v>41</v>
      </c>
      <c r="BA22" t="s">
        <v>1</v>
      </c>
      <c r="BB22" t="s">
        <v>226</v>
      </c>
      <c r="BC22" t="s">
        <v>254</v>
      </c>
      <c r="BD22" s="44" t="s">
        <v>223</v>
      </c>
      <c r="BE22" s="53" t="s">
        <v>224</v>
      </c>
      <c r="BF22" s="53" t="s">
        <v>257</v>
      </c>
      <c r="BG22" s="53" t="s">
        <v>256</v>
      </c>
      <c r="BH22" s="53"/>
      <c r="BK22" s="19" t="s">
        <v>78</v>
      </c>
      <c r="BL22" s="2">
        <v>0</v>
      </c>
      <c r="BM22" s="2">
        <v>0</v>
      </c>
      <c r="BN22" s="2">
        <v>0</v>
      </c>
      <c r="BO22" s="2">
        <v>0</v>
      </c>
      <c r="BP22" s="2">
        <v>0</v>
      </c>
      <c r="BQ22" s="2">
        <v>0</v>
      </c>
      <c r="BR22" s="2">
        <v>0</v>
      </c>
      <c r="BS22" s="2">
        <v>0</v>
      </c>
      <c r="BT22" s="2">
        <v>0</v>
      </c>
      <c r="BU22" s="2">
        <v>0</v>
      </c>
      <c r="BV22" s="2">
        <v>0</v>
      </c>
      <c r="BW22" s="2">
        <v>0</v>
      </c>
      <c r="BX22" s="2">
        <v>0</v>
      </c>
    </row>
    <row r="23" spans="1:76" x14ac:dyDescent="0.35">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1" t="s">
        <v>43</v>
      </c>
      <c r="AZ23" s="28">
        <f>VLOOKUP($AY23,$X$8:$AV$1048576,25,FALSE)/VLOOKUP($AY23,$X$8:$AV$1048576,23,FALSE)</f>
        <v>2.7201684863936152E-2</v>
      </c>
      <c r="BA23" s="28">
        <f>VLOOKUP($AY23,$X$8:$AV$1048576,7,FALSE)/VLOOKUP($AY23,$X$8:$AV$1048576,5,FALSE)</f>
        <v>9.5413344237715528E-3</v>
      </c>
      <c r="BB23" s="28">
        <f>VLOOKUP($AY23,$X$8:$AV$1048576,10,FALSE)/VLOOKUP($AY23,$X$8:$AV$1048576,8,FALSE)</f>
        <v>3.7406757349714784E-2</v>
      </c>
      <c r="BC23" s="28">
        <f>VLOOKUP($AY23,$X$8:$AV$1048576,13,FALSE)/VLOOKUP($AY23,$X$8:$AV$1048576,11,FALSE)</f>
        <v>1.7444395987788922E-2</v>
      </c>
      <c r="BD23" s="28">
        <f>VLOOKUP($AY23,$X$8:$AV$1048576,19,FALSE)/VLOOKUP($AY23,$X$8:$AV$1048576,17,FALSE)</f>
        <v>2.3805947732051667E-2</v>
      </c>
      <c r="BE23" s="28">
        <f>VLOOKUP($AY23,$X$8:$AV$1048576,22,FALSE)/VLOOKUP($AY23,$X$8:$AV$1048576,20,FALSE)</f>
        <v>3.6427598729005903E-2</v>
      </c>
      <c r="BF23" s="28">
        <f>VLOOKUP($AY23,$X$8:$AV$1048576,4,FALSE)/VLOOKUP($AY23,$X$8:$AV$1048576,2,FALSE)</f>
        <v>5.5861365953109074E-2</v>
      </c>
      <c r="BG23" s="28">
        <f>VLOOKUP($AY23,$X$8:$AV$1048576,16,FALSE)/VLOOKUP($AY23,$X$8:$AV$1048576,14,FALSE)</f>
        <v>1.7737213707594283E-2</v>
      </c>
      <c r="BH23" s="28"/>
      <c r="BK23" s="19" t="s">
        <v>79</v>
      </c>
      <c r="BL23" s="2">
        <v>1</v>
      </c>
      <c r="BM23" s="2">
        <v>3</v>
      </c>
      <c r="BN23" s="2">
        <v>3</v>
      </c>
      <c r="BO23" s="2">
        <v>2</v>
      </c>
      <c r="BP23" s="2">
        <v>10</v>
      </c>
      <c r="BQ23" s="2">
        <v>1</v>
      </c>
      <c r="BR23" s="2">
        <v>1</v>
      </c>
      <c r="BS23" s="2">
        <v>2</v>
      </c>
      <c r="BT23" s="2">
        <v>1</v>
      </c>
      <c r="BU23" s="2">
        <v>3</v>
      </c>
      <c r="BV23" s="2">
        <v>3</v>
      </c>
      <c r="BW23" s="2">
        <v>5</v>
      </c>
      <c r="BX23" s="2">
        <v>2</v>
      </c>
    </row>
    <row r="24" spans="1:76" x14ac:dyDescent="0.35">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0" t="s">
        <v>44</v>
      </c>
      <c r="AZ24" s="28">
        <f t="shared" ref="AZ24:AZ35" si="16">VLOOKUP($AY24,$X$8:$AV$1048576,25,FALSE)/VLOOKUP($AY24,$X$8:$AV$1048576,23,FALSE)</f>
        <v>4.7505754249291786E-2</v>
      </c>
      <c r="BA24" s="28">
        <f t="shared" ref="BA24:BA35" si="17">VLOOKUP($AY24,$X$8:$AV$1048576,7,FALSE)/VLOOKUP($AY24,$X$8:$AV$1048576,5,FALSE)</f>
        <v>2.7145599122566495E-2</v>
      </c>
      <c r="BB24" s="28">
        <f t="shared" ref="BB24:BB35" si="18">VLOOKUP($AY24,$X$8:$AV$1048576,10,FALSE)/VLOOKUP($AY24,$X$8:$AV$1048576,8,FALSE)</f>
        <v>6.4464717520334142E-2</v>
      </c>
      <c r="BC24" s="28">
        <f t="shared" ref="BC24:BC35" si="19">VLOOKUP($AY24,$X$8:$AV$1048576,13,FALSE)/VLOOKUP($AY24,$X$8:$AV$1048576,11,FALSE)</f>
        <v>2.1979621542940319E-2</v>
      </c>
      <c r="BD24" s="28">
        <f t="shared" ref="BD24:BD35" si="20">VLOOKUP($AY24,$X$8:$AV$1048576,19,FALSE)/VLOOKUP($AY24,$X$8:$AV$1048576,17,FALSE)</f>
        <v>4.5557741789011653E-2</v>
      </c>
      <c r="BE24" s="28">
        <f t="shared" ref="BE24:BE35" si="21">VLOOKUP($AY24,$X$8:$AV$1048576,22,FALSE)/VLOOKUP($AY24,$X$8:$AV$1048576,20,FALSE)</f>
        <v>7.8761841815377834E-2</v>
      </c>
      <c r="BF24" s="28">
        <f t="shared" ref="BF24:BF35" si="22">VLOOKUP($AY24,$X$8:$AV$1048576,4,FALSE)/VLOOKUP($AY24,$X$8:$AV$1048576,2,FALSE)</f>
        <v>9.2085312847467904E-2</v>
      </c>
      <c r="BG24" s="28">
        <f t="shared" ref="BG24:BG35" si="23">VLOOKUP($AY24,$X$8:$AV$1048576,16,FALSE)/VLOOKUP($AY24,$X$8:$AV$1048576,14,FALSE)</f>
        <v>1.6639505961060126E-2</v>
      </c>
      <c r="BH24" s="28"/>
      <c r="BK24" s="19" t="s">
        <v>80</v>
      </c>
      <c r="BL24" s="2">
        <v>3</v>
      </c>
      <c r="BM24" s="2">
        <v>0</v>
      </c>
      <c r="BN24" s="2">
        <v>0</v>
      </c>
      <c r="BO24" s="2">
        <v>0</v>
      </c>
      <c r="BP24" s="2">
        <v>0</v>
      </c>
      <c r="BQ24" s="2">
        <v>1</v>
      </c>
      <c r="BR24" s="2">
        <v>0</v>
      </c>
      <c r="BS24" s="2">
        <v>2</v>
      </c>
      <c r="BT24" s="2">
        <v>15</v>
      </c>
      <c r="BU24" s="2">
        <v>8</v>
      </c>
      <c r="BV24" s="2">
        <v>0</v>
      </c>
      <c r="BW24" s="2">
        <v>3</v>
      </c>
      <c r="BX24" s="2">
        <v>0</v>
      </c>
    </row>
    <row r="25" spans="1:76" x14ac:dyDescent="0.35">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0" t="s">
        <v>45</v>
      </c>
      <c r="AZ25" s="28">
        <f t="shared" si="16"/>
        <v>4.7257450321826946E-2</v>
      </c>
      <c r="BA25" s="28">
        <f t="shared" si="17"/>
        <v>3.7473926490685462E-2</v>
      </c>
      <c r="BB25" s="28">
        <f t="shared" si="18"/>
        <v>5.8787575707062285E-2</v>
      </c>
      <c r="BC25" s="28">
        <f t="shared" si="19"/>
        <v>2.4608982637394174E-2</v>
      </c>
      <c r="BD25" s="28">
        <f t="shared" si="20"/>
        <v>4.6122734697052192E-2</v>
      </c>
      <c r="BE25" s="28">
        <f t="shared" si="21"/>
        <v>5.5542986425339363E-2</v>
      </c>
      <c r="BF25" s="28">
        <f t="shared" si="22"/>
        <v>9.7032549543074234E-2</v>
      </c>
      <c r="BG25" s="28">
        <f t="shared" si="23"/>
        <v>2.1789088433058133E-2</v>
      </c>
      <c r="BH25" s="28"/>
      <c r="BK25" s="19" t="s">
        <v>81</v>
      </c>
      <c r="BL25" s="2">
        <v>21</v>
      </c>
      <c r="BM25" s="2">
        <v>21</v>
      </c>
      <c r="BN25" s="2">
        <v>7</v>
      </c>
      <c r="BO25" s="2">
        <v>28</v>
      </c>
      <c r="BP25" s="2">
        <v>27</v>
      </c>
      <c r="BQ25" s="2">
        <v>40</v>
      </c>
      <c r="BR25" s="2">
        <v>38</v>
      </c>
      <c r="BS25" s="2">
        <v>41</v>
      </c>
      <c r="BT25" s="2">
        <v>45</v>
      </c>
      <c r="BU25" s="2">
        <v>59</v>
      </c>
      <c r="BV25" s="2">
        <v>20</v>
      </c>
      <c r="BW25" s="2">
        <v>28</v>
      </c>
      <c r="BX25" s="2">
        <v>16</v>
      </c>
    </row>
    <row r="26" spans="1:76" x14ac:dyDescent="0.35">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0" t="s">
        <v>46</v>
      </c>
      <c r="AZ26" s="28">
        <f t="shared" si="16"/>
        <v>2.954952871103915E-2</v>
      </c>
      <c r="BA26" s="28">
        <f t="shared" si="17"/>
        <v>3.8913534127169427E-2</v>
      </c>
      <c r="BB26" s="28">
        <f t="shared" si="18"/>
        <v>3.2318000112606271E-2</v>
      </c>
      <c r="BC26" s="28">
        <f t="shared" si="19"/>
        <v>1.1195431662784581E-2</v>
      </c>
      <c r="BD26" s="28">
        <f t="shared" si="20"/>
        <v>4.0873416737897274E-2</v>
      </c>
      <c r="BE26" s="28">
        <f t="shared" si="21"/>
        <v>1.8403469698745751E-2</v>
      </c>
      <c r="BF26" s="28">
        <f t="shared" si="22"/>
        <v>5.479597244303127E-2</v>
      </c>
      <c r="BG26" s="28">
        <f t="shared" si="23"/>
        <v>1.1271454188369908E-2</v>
      </c>
      <c r="BH26" s="28"/>
      <c r="BK26" s="19" t="s">
        <v>82</v>
      </c>
      <c r="BL26" s="2">
        <v>7</v>
      </c>
      <c r="BM26" s="2">
        <v>17</v>
      </c>
      <c r="BN26" s="2">
        <v>3</v>
      </c>
      <c r="BO26" s="2">
        <v>1</v>
      </c>
      <c r="BP26" s="2">
        <v>0</v>
      </c>
      <c r="BQ26" s="2">
        <v>43</v>
      </c>
      <c r="BR26" s="2">
        <v>53</v>
      </c>
      <c r="BS26" s="2">
        <v>28</v>
      </c>
      <c r="BT26" s="2">
        <v>118</v>
      </c>
      <c r="BU26" s="2">
        <v>62</v>
      </c>
      <c r="BV26" s="2">
        <v>69</v>
      </c>
      <c r="BW26" s="2">
        <v>25</v>
      </c>
      <c r="BX26" s="2">
        <v>19</v>
      </c>
    </row>
    <row r="27" spans="1:76" x14ac:dyDescent="0.35">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0" t="s">
        <v>47</v>
      </c>
      <c r="AZ27" s="28">
        <f t="shared" si="16"/>
        <v>5.8245621721082552E-2</v>
      </c>
      <c r="BA27" s="28">
        <f t="shared" si="17"/>
        <v>6.2383745886392901E-2</v>
      </c>
      <c r="BB27" s="28">
        <f t="shared" si="18"/>
        <v>7.0401829467494279E-2</v>
      </c>
      <c r="BC27" s="28">
        <f t="shared" si="19"/>
        <v>3.4314068069047451E-2</v>
      </c>
      <c r="BD27" s="28">
        <f t="shared" si="20"/>
        <v>5.544688534456816E-2</v>
      </c>
      <c r="BE27" s="28">
        <f t="shared" si="21"/>
        <v>7.5263985621208715E-2</v>
      </c>
      <c r="BF27" s="28">
        <f t="shared" si="22"/>
        <v>9.4268934791413531E-2</v>
      </c>
      <c r="BG27" s="28">
        <f t="shared" si="23"/>
        <v>2.575516693163752E-2</v>
      </c>
      <c r="BH27" s="28"/>
      <c r="BK27" s="19" t="s">
        <v>83</v>
      </c>
      <c r="BL27" s="2">
        <v>0</v>
      </c>
      <c r="BM27" s="2">
        <v>2</v>
      </c>
      <c r="BN27" s="2">
        <v>0</v>
      </c>
      <c r="BO27" s="2">
        <v>0</v>
      </c>
      <c r="BP27" s="2">
        <v>2</v>
      </c>
      <c r="BQ27" s="2">
        <v>13</v>
      </c>
      <c r="BR27" s="2">
        <v>13</v>
      </c>
      <c r="BS27" s="2">
        <v>17</v>
      </c>
      <c r="BT27" s="2">
        <v>45</v>
      </c>
      <c r="BU27" s="2">
        <v>31</v>
      </c>
      <c r="BV27" s="2">
        <v>2</v>
      </c>
      <c r="BW27" s="2">
        <v>0</v>
      </c>
      <c r="BX27" s="2">
        <v>0</v>
      </c>
    </row>
    <row r="28" spans="1:76" x14ac:dyDescent="0.35">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0" t="s">
        <v>48</v>
      </c>
      <c r="AZ28" s="28">
        <f t="shared" si="16"/>
        <v>6.4062935762759135E-2</v>
      </c>
      <c r="BA28" s="28">
        <f>VLOOKUP($AY28,$X$8:$AV$1048576,7,FALSE)/VLOOKUP($AY28,$X$8:$AV$1048576,5,FALSE)</f>
        <v>6.3923756392375644E-2</v>
      </c>
      <c r="BB28" s="28">
        <f t="shared" si="18"/>
        <v>8.5072774455601935E-2</v>
      </c>
      <c r="BC28" s="28">
        <f t="shared" si="19"/>
        <v>3.1951003541912631E-2</v>
      </c>
      <c r="BD28" s="28">
        <f t="shared" si="20"/>
        <v>6.6604127579737341E-2</v>
      </c>
      <c r="BE28" s="28">
        <f t="shared" si="21"/>
        <v>8.5457635348385533E-2</v>
      </c>
      <c r="BF28" s="28">
        <f t="shared" si="22"/>
        <v>9.5320064550833777E-2</v>
      </c>
      <c r="BG28" s="28">
        <f t="shared" si="23"/>
        <v>2.64137871308565E-2</v>
      </c>
      <c r="BH28" s="28"/>
      <c r="BK28" s="19" t="s">
        <v>84</v>
      </c>
      <c r="BL28" s="2">
        <v>15</v>
      </c>
      <c r="BM28" s="2">
        <v>11</v>
      </c>
      <c r="BN28" s="2">
        <v>31</v>
      </c>
      <c r="BO28" s="2">
        <v>60</v>
      </c>
      <c r="BP28" s="2">
        <v>45</v>
      </c>
      <c r="BQ28" s="2">
        <v>35</v>
      </c>
      <c r="BR28" s="2">
        <v>37</v>
      </c>
      <c r="BS28" s="2">
        <v>16</v>
      </c>
      <c r="BT28" s="2">
        <v>14</v>
      </c>
      <c r="BU28" s="2">
        <v>24</v>
      </c>
      <c r="BV28" s="2">
        <v>7</v>
      </c>
      <c r="BW28" s="2">
        <v>15</v>
      </c>
      <c r="BX28" s="2">
        <v>19</v>
      </c>
    </row>
    <row r="29" spans="1:76" x14ac:dyDescent="0.35">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0" t="s">
        <v>49</v>
      </c>
      <c r="AZ29" s="28">
        <f t="shared" si="16"/>
        <v>3.8733294596165022E-2</v>
      </c>
      <c r="BA29" s="28">
        <f t="shared" si="17"/>
        <v>2.0499963129562718E-2</v>
      </c>
      <c r="BB29" s="28">
        <f t="shared" si="18"/>
        <v>6.0427002619989963E-2</v>
      </c>
      <c r="BC29" s="28">
        <f t="shared" si="19"/>
        <v>9.3628682347567938E-3</v>
      </c>
      <c r="BD29" s="28">
        <f t="shared" si="20"/>
        <v>3.6016781445420726E-2</v>
      </c>
      <c r="BE29" s="28">
        <f t="shared" si="21"/>
        <v>7.4960322304968866E-2</v>
      </c>
      <c r="BF29" s="28">
        <f t="shared" si="22"/>
        <v>6.2520602131633893E-2</v>
      </c>
      <c r="BG29" s="28">
        <f t="shared" si="23"/>
        <v>1.8279944289693595E-2</v>
      </c>
      <c r="BH29" s="28"/>
      <c r="BK29" s="19" t="s">
        <v>85</v>
      </c>
      <c r="BL29" s="2">
        <v>0</v>
      </c>
      <c r="BM29" s="2">
        <v>0</v>
      </c>
      <c r="BN29" s="2">
        <v>0</v>
      </c>
      <c r="BO29" s="2">
        <v>0</v>
      </c>
      <c r="BP29" s="2">
        <v>0</v>
      </c>
      <c r="BQ29" s="2">
        <v>0</v>
      </c>
      <c r="BR29" s="2">
        <v>0</v>
      </c>
      <c r="BS29" s="2">
        <v>0</v>
      </c>
      <c r="BT29" s="2">
        <v>2</v>
      </c>
      <c r="BU29" s="2">
        <v>0</v>
      </c>
      <c r="BV29" s="2">
        <v>0</v>
      </c>
      <c r="BW29" s="2">
        <v>0</v>
      </c>
      <c r="BX29" s="2">
        <v>0</v>
      </c>
    </row>
    <row r="30" spans="1:76" x14ac:dyDescent="0.35">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0" t="s">
        <v>50</v>
      </c>
      <c r="AZ30" s="28">
        <f t="shared" si="16"/>
        <v>3.6976133893475399E-2</v>
      </c>
      <c r="BA30" s="28">
        <f t="shared" si="17"/>
        <v>2.1822576059141313E-2</v>
      </c>
      <c r="BB30" s="28">
        <f t="shared" si="18"/>
        <v>6.0090764940674724E-2</v>
      </c>
      <c r="BC30" s="28">
        <f t="shared" si="19"/>
        <v>1.8728222996515678E-2</v>
      </c>
      <c r="BD30" s="28">
        <f t="shared" si="20"/>
        <v>1.8157262905162064E-2</v>
      </c>
      <c r="BE30" s="28">
        <f t="shared" si="21"/>
        <v>6.7093037287317484E-2</v>
      </c>
      <c r="BF30" s="28">
        <f t="shared" si="22"/>
        <v>5.6489361702127656E-2</v>
      </c>
      <c r="BG30" s="28">
        <f t="shared" si="23"/>
        <v>2.4916229916659507E-2</v>
      </c>
      <c r="BH30" s="28"/>
      <c r="BK30" s="19" t="s">
        <v>86</v>
      </c>
      <c r="BL30" s="2">
        <v>34</v>
      </c>
      <c r="BM30" s="2">
        <v>33</v>
      </c>
      <c r="BN30" s="2">
        <v>22</v>
      </c>
      <c r="BO30" s="2">
        <v>8</v>
      </c>
      <c r="BP30" s="2">
        <v>23</v>
      </c>
      <c r="BQ30" s="2">
        <v>121</v>
      </c>
      <c r="BR30" s="2">
        <v>45</v>
      </c>
      <c r="BS30" s="2">
        <v>22</v>
      </c>
      <c r="BT30" s="2">
        <v>57</v>
      </c>
      <c r="BU30" s="2">
        <v>65</v>
      </c>
      <c r="BV30" s="2">
        <v>25</v>
      </c>
      <c r="BW30" s="2">
        <v>20</v>
      </c>
      <c r="BX30" s="2">
        <v>24</v>
      </c>
    </row>
    <row r="31" spans="1:76" x14ac:dyDescent="0.35">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0" t="s">
        <v>51</v>
      </c>
      <c r="AZ31" s="28">
        <f t="shared" si="16"/>
        <v>2.6401038433320166E-2</v>
      </c>
      <c r="BA31" s="28">
        <f t="shared" si="17"/>
        <v>1.4170185357475131E-2</v>
      </c>
      <c r="BB31" s="28">
        <f t="shared" si="18"/>
        <v>4.3359679394411668E-2</v>
      </c>
      <c r="BC31" s="28">
        <f t="shared" si="19"/>
        <v>1.8822647169103861E-2</v>
      </c>
      <c r="BD31" s="28">
        <f t="shared" si="20"/>
        <v>1.0303810894764755E-2</v>
      </c>
      <c r="BE31" s="28">
        <f t="shared" si="21"/>
        <v>3.7419814682822523E-2</v>
      </c>
      <c r="BF31" s="28">
        <f t="shared" si="22"/>
        <v>4.9516162240065886E-2</v>
      </c>
      <c r="BG31" s="28">
        <f t="shared" si="23"/>
        <v>1.4929107589658049E-2</v>
      </c>
      <c r="BH31" s="28"/>
      <c r="BK31" s="19" t="s">
        <v>87</v>
      </c>
      <c r="BL31" s="2">
        <v>0</v>
      </c>
      <c r="BM31" s="2">
        <v>1</v>
      </c>
      <c r="BN31" s="2">
        <v>0</v>
      </c>
      <c r="BO31" s="2">
        <v>4</v>
      </c>
      <c r="BP31" s="2">
        <v>0</v>
      </c>
      <c r="BQ31" s="2">
        <v>0</v>
      </c>
      <c r="BR31" s="2">
        <v>0</v>
      </c>
      <c r="BS31" s="2">
        <v>0</v>
      </c>
      <c r="BT31" s="2">
        <v>0</v>
      </c>
      <c r="BU31" s="2">
        <v>2</v>
      </c>
      <c r="BV31" s="2">
        <v>2</v>
      </c>
      <c r="BW31" s="2">
        <v>0</v>
      </c>
      <c r="BX31" s="2">
        <v>0</v>
      </c>
    </row>
    <row r="32" spans="1:76" x14ac:dyDescent="0.35">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0" t="s">
        <v>52</v>
      </c>
      <c r="AZ32" s="28">
        <f t="shared" si="16"/>
        <v>1.9074195289443163E-2</v>
      </c>
      <c r="BA32" s="28">
        <f t="shared" si="17"/>
        <v>6.0651441407712468E-3</v>
      </c>
      <c r="BB32" s="28">
        <f t="shared" si="18"/>
        <v>2.1700223713646532E-2</v>
      </c>
      <c r="BC32" s="28">
        <f t="shared" si="19"/>
        <v>1.2570995834911019E-2</v>
      </c>
      <c r="BD32" s="28">
        <f t="shared" si="20"/>
        <v>1.0056911202931318E-2</v>
      </c>
      <c r="BE32" s="28">
        <f t="shared" si="21"/>
        <v>5.1858757720545393E-2</v>
      </c>
      <c r="BF32" s="28">
        <f t="shared" si="22"/>
        <v>3.9674253497598663E-2</v>
      </c>
      <c r="BG32" s="28">
        <f t="shared" si="23"/>
        <v>6.1776061776061776E-3</v>
      </c>
      <c r="BH32" s="28"/>
      <c r="BK32" s="19" t="s">
        <v>88</v>
      </c>
      <c r="BL32" s="2">
        <v>9</v>
      </c>
      <c r="BM32" s="2">
        <v>20</v>
      </c>
      <c r="BN32" s="2">
        <v>6</v>
      </c>
      <c r="BO32" s="2">
        <v>49</v>
      </c>
      <c r="BP32" s="2">
        <v>41</v>
      </c>
      <c r="BQ32" s="2">
        <v>27</v>
      </c>
      <c r="BR32" s="2">
        <v>33</v>
      </c>
      <c r="BS32" s="2">
        <v>54</v>
      </c>
      <c r="BT32" s="2">
        <v>134</v>
      </c>
      <c r="BU32" s="2">
        <v>87</v>
      </c>
      <c r="BV32" s="2">
        <v>27</v>
      </c>
      <c r="BW32" s="2">
        <v>14</v>
      </c>
      <c r="BX32" s="2">
        <v>32</v>
      </c>
    </row>
    <row r="33" spans="23:76" x14ac:dyDescent="0.35">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0" t="s">
        <v>53</v>
      </c>
      <c r="AZ33" s="28">
        <f t="shared" si="16"/>
        <v>1.0443618572705461E-2</v>
      </c>
      <c r="BA33" s="28">
        <f t="shared" si="17"/>
        <v>3.167735455458549E-3</v>
      </c>
      <c r="BB33" s="28">
        <f t="shared" si="18"/>
        <v>1.0910735485329866E-2</v>
      </c>
      <c r="BC33" s="28">
        <f t="shared" si="19"/>
        <v>1.1932633486896761E-2</v>
      </c>
      <c r="BD33" s="28">
        <f t="shared" si="20"/>
        <v>2.9879673746265041E-3</v>
      </c>
      <c r="BE33" s="28">
        <f t="shared" si="21"/>
        <v>3.0617223713100758E-2</v>
      </c>
      <c r="BF33" s="28">
        <f t="shared" si="22"/>
        <v>1.7540129690655895E-2</v>
      </c>
      <c r="BG33" s="28">
        <f t="shared" si="23"/>
        <v>3.8506313244380764E-3</v>
      </c>
      <c r="BH33" s="28"/>
      <c r="BK33" s="19" t="s">
        <v>89</v>
      </c>
      <c r="BL33" s="2">
        <v>1</v>
      </c>
      <c r="BM33" s="2">
        <v>0</v>
      </c>
      <c r="BN33" s="2">
        <v>0</v>
      </c>
      <c r="BO33" s="2">
        <v>2</v>
      </c>
      <c r="BP33" s="2">
        <v>0</v>
      </c>
      <c r="BQ33" s="2">
        <v>1</v>
      </c>
      <c r="BR33" s="2">
        <v>4</v>
      </c>
      <c r="BS33" s="2">
        <v>3</v>
      </c>
      <c r="BT33" s="2">
        <v>0</v>
      </c>
      <c r="BU33" s="2">
        <v>8</v>
      </c>
      <c r="BV33" s="2">
        <v>7</v>
      </c>
      <c r="BW33" s="2">
        <v>0</v>
      </c>
      <c r="BX33" s="2">
        <v>1</v>
      </c>
    </row>
    <row r="34" spans="23:76" x14ac:dyDescent="0.35">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0" t="s">
        <v>54</v>
      </c>
      <c r="AZ34" s="28">
        <f t="shared" si="16"/>
        <v>2.1256369725977428E-2</v>
      </c>
      <c r="BA34" s="28">
        <f t="shared" si="17"/>
        <v>3.9930303470306376E-3</v>
      </c>
      <c r="BB34" s="28">
        <f t="shared" si="18"/>
        <v>3.1659447029252899E-2</v>
      </c>
      <c r="BC34" s="28">
        <f t="shared" si="19"/>
        <v>2.1594088528588851E-2</v>
      </c>
      <c r="BD34" s="28">
        <f t="shared" si="20"/>
        <v>9.856293732601008E-3</v>
      </c>
      <c r="BE34" s="28">
        <f t="shared" si="21"/>
        <v>6.9228145958849602E-2</v>
      </c>
      <c r="BF34" s="28">
        <f t="shared" si="22"/>
        <v>1.5096980603879224E-2</v>
      </c>
      <c r="BG34" s="28">
        <f t="shared" si="23"/>
        <v>7.0204763894692853E-3</v>
      </c>
      <c r="BH34" s="28"/>
      <c r="BK34" s="19" t="s">
        <v>259</v>
      </c>
      <c r="BL34" s="2">
        <v>10</v>
      </c>
      <c r="BM34" s="2">
        <v>6</v>
      </c>
      <c r="BN34" s="2">
        <v>1</v>
      </c>
      <c r="BO34" s="2">
        <v>3</v>
      </c>
      <c r="BP34" s="2">
        <v>28</v>
      </c>
      <c r="BQ34" s="2">
        <v>20</v>
      </c>
      <c r="BR34" s="2">
        <v>26</v>
      </c>
      <c r="BS34" s="2">
        <v>20</v>
      </c>
      <c r="BT34" s="2">
        <v>45</v>
      </c>
      <c r="BU34" s="2">
        <v>102</v>
      </c>
      <c r="BV34" s="2">
        <v>42</v>
      </c>
      <c r="BW34" s="2">
        <v>25</v>
      </c>
      <c r="BX34" s="2">
        <v>23</v>
      </c>
    </row>
    <row r="35" spans="23:76" x14ac:dyDescent="0.35">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0" t="s">
        <v>55</v>
      </c>
      <c r="AZ35" s="28">
        <f t="shared" si="16"/>
        <v>1.8098211751348282E-2</v>
      </c>
      <c r="BA35" s="28">
        <f t="shared" si="17"/>
        <v>3.3395176252319111E-3</v>
      </c>
      <c r="BB35" s="28">
        <f t="shared" si="18"/>
        <v>2.9462163506716047E-2</v>
      </c>
      <c r="BC35" s="28">
        <f t="shared" si="19"/>
        <v>2.0126806251843113E-2</v>
      </c>
      <c r="BD35" s="28">
        <f t="shared" si="20"/>
        <v>6.0302294619782289E-3</v>
      </c>
      <c r="BE35" s="28">
        <f t="shared" si="21"/>
        <v>3.5612046261307685E-2</v>
      </c>
      <c r="BF35" s="28">
        <f t="shared" si="22"/>
        <v>2.9491738130098307E-2</v>
      </c>
      <c r="BG35" s="28">
        <f t="shared" si="23"/>
        <v>6.1442639508458886E-3</v>
      </c>
      <c r="BH35" s="28"/>
      <c r="BK35" s="19" t="s">
        <v>90</v>
      </c>
      <c r="BL35" s="2">
        <v>1</v>
      </c>
      <c r="BM35" s="2">
        <v>15</v>
      </c>
      <c r="BN35" s="2">
        <v>2</v>
      </c>
      <c r="BO35" s="2">
        <v>1</v>
      </c>
      <c r="BP35" s="2">
        <v>1</v>
      </c>
      <c r="BQ35" s="2">
        <v>63</v>
      </c>
      <c r="BR35" s="2">
        <v>97</v>
      </c>
      <c r="BS35" s="2">
        <v>97</v>
      </c>
      <c r="BT35" s="2">
        <v>99</v>
      </c>
      <c r="BU35" s="2">
        <v>124</v>
      </c>
      <c r="BV35" s="2">
        <v>117</v>
      </c>
      <c r="BW35" s="2">
        <v>25</v>
      </c>
      <c r="BX35" s="2">
        <v>7</v>
      </c>
    </row>
    <row r="36" spans="23:76" x14ac:dyDescent="0.35">
      <c r="AY36" s="20"/>
      <c r="AZ36" s="28"/>
      <c r="BA36" s="28"/>
      <c r="BB36" s="28"/>
      <c r="BC36" s="28"/>
      <c r="BD36" s="28"/>
      <c r="BE36" s="28"/>
      <c r="BF36" s="28"/>
      <c r="BG36" s="28"/>
      <c r="BH36" s="28"/>
      <c r="BK36" s="19" t="s">
        <v>91</v>
      </c>
      <c r="BL36" s="2">
        <v>6</v>
      </c>
      <c r="BM36" s="2">
        <v>1</v>
      </c>
      <c r="BN36" s="2">
        <v>0</v>
      </c>
      <c r="BO36" s="2">
        <v>2</v>
      </c>
      <c r="BP36" s="2">
        <v>1</v>
      </c>
      <c r="BQ36" s="2">
        <v>7</v>
      </c>
      <c r="BR36" s="2">
        <v>26</v>
      </c>
      <c r="BS36" s="2">
        <v>2</v>
      </c>
      <c r="BT36" s="2">
        <v>30</v>
      </c>
      <c r="BU36" s="2">
        <v>20</v>
      </c>
      <c r="BV36" s="2">
        <v>19</v>
      </c>
      <c r="BW36" s="2">
        <v>16</v>
      </c>
      <c r="BX36" s="2">
        <v>7</v>
      </c>
    </row>
    <row r="37" spans="23:76" x14ac:dyDescent="0.35">
      <c r="BG37" s="28"/>
      <c r="BK37" s="19" t="s">
        <v>92</v>
      </c>
      <c r="BL37" s="2">
        <v>2</v>
      </c>
      <c r="BM37" s="2">
        <v>0</v>
      </c>
      <c r="BN37" s="2">
        <v>0</v>
      </c>
      <c r="BO37" s="2">
        <v>0</v>
      </c>
      <c r="BP37" s="2">
        <v>0</v>
      </c>
      <c r="BQ37" s="2">
        <v>3</v>
      </c>
      <c r="BR37" s="2">
        <v>0</v>
      </c>
      <c r="BS37" s="2">
        <v>0</v>
      </c>
      <c r="BT37" s="2">
        <v>0</v>
      </c>
      <c r="BU37" s="2">
        <v>19</v>
      </c>
      <c r="BV37" s="2">
        <v>6</v>
      </c>
      <c r="BW37" s="2">
        <v>5</v>
      </c>
      <c r="BX37" s="2">
        <v>0</v>
      </c>
    </row>
    <row r="38" spans="23:76" x14ac:dyDescent="0.35">
      <c r="BK38" s="19" t="s">
        <v>93</v>
      </c>
      <c r="BL38" s="2">
        <v>0</v>
      </c>
      <c r="BM38" s="2">
        <v>0</v>
      </c>
      <c r="BN38" s="2">
        <v>0</v>
      </c>
      <c r="BO38" s="2">
        <v>0</v>
      </c>
      <c r="BP38" s="2">
        <v>0</v>
      </c>
      <c r="BQ38" s="2">
        <v>1</v>
      </c>
      <c r="BR38" s="2">
        <v>0</v>
      </c>
      <c r="BS38" s="2">
        <v>0</v>
      </c>
      <c r="BT38" s="2">
        <v>7</v>
      </c>
      <c r="BU38" s="2">
        <v>3</v>
      </c>
      <c r="BV38" s="2">
        <v>0</v>
      </c>
      <c r="BW38" s="2">
        <v>3</v>
      </c>
      <c r="BX38" s="2">
        <v>0</v>
      </c>
    </row>
    <row r="39" spans="23:76" x14ac:dyDescent="0.35">
      <c r="BK39" s="19" t="s">
        <v>94</v>
      </c>
      <c r="BL39" s="2">
        <v>0</v>
      </c>
      <c r="BM39" s="2">
        <v>0</v>
      </c>
      <c r="BN39" s="2">
        <v>0</v>
      </c>
      <c r="BO39" s="2">
        <v>0</v>
      </c>
      <c r="BP39" s="2">
        <v>0</v>
      </c>
      <c r="BQ39" s="2">
        <v>6</v>
      </c>
      <c r="BR39" s="2">
        <v>10</v>
      </c>
      <c r="BS39" s="2">
        <v>0</v>
      </c>
      <c r="BT39" s="2">
        <v>4</v>
      </c>
      <c r="BU39" s="2">
        <v>0</v>
      </c>
      <c r="BV39" s="2">
        <v>0</v>
      </c>
      <c r="BW39" s="2">
        <v>0</v>
      </c>
      <c r="BX39" s="2">
        <v>0</v>
      </c>
    </row>
    <row r="40" spans="23:76" x14ac:dyDescent="0.35">
      <c r="BK40" s="19" t="s">
        <v>95</v>
      </c>
      <c r="BL40" s="2">
        <v>64</v>
      </c>
      <c r="BM40" s="2">
        <v>54</v>
      </c>
      <c r="BN40" s="2">
        <v>67</v>
      </c>
      <c r="BO40" s="2">
        <v>112</v>
      </c>
      <c r="BP40" s="2">
        <v>81</v>
      </c>
      <c r="BQ40" s="2">
        <v>216</v>
      </c>
      <c r="BR40" s="2">
        <v>88</v>
      </c>
      <c r="BS40" s="2">
        <v>31</v>
      </c>
      <c r="BT40" s="2">
        <v>233</v>
      </c>
      <c r="BU40" s="2">
        <v>114</v>
      </c>
      <c r="BV40" s="2">
        <v>106</v>
      </c>
      <c r="BW40" s="2">
        <v>108</v>
      </c>
      <c r="BX40" s="2">
        <v>20</v>
      </c>
    </row>
    <row r="41" spans="23:76" x14ac:dyDescent="0.35">
      <c r="BK41" s="19" t="s">
        <v>96</v>
      </c>
      <c r="BL41" s="2">
        <v>48</v>
      </c>
      <c r="BM41" s="2">
        <v>26</v>
      </c>
      <c r="BN41" s="2">
        <v>19</v>
      </c>
      <c r="BO41" s="2">
        <v>21</v>
      </c>
      <c r="BP41" s="2">
        <v>6</v>
      </c>
      <c r="BQ41" s="2">
        <v>90</v>
      </c>
      <c r="BR41" s="2">
        <v>40</v>
      </c>
      <c r="BS41" s="2">
        <v>28</v>
      </c>
      <c r="BT41" s="2">
        <v>28</v>
      </c>
      <c r="BU41" s="2">
        <v>87</v>
      </c>
      <c r="BV41" s="2">
        <v>72</v>
      </c>
      <c r="BW41" s="2">
        <v>6</v>
      </c>
      <c r="BX41" s="2">
        <v>34</v>
      </c>
    </row>
    <row r="42" spans="23:76" x14ac:dyDescent="0.35">
      <c r="BK42" s="19" t="s">
        <v>97</v>
      </c>
      <c r="BL42" s="2">
        <v>0</v>
      </c>
      <c r="BM42" s="2">
        <v>0</v>
      </c>
      <c r="BN42" s="2">
        <v>0</v>
      </c>
      <c r="BO42" s="2">
        <v>0</v>
      </c>
      <c r="BP42" s="2">
        <v>0</v>
      </c>
      <c r="BQ42" s="2">
        <v>0</v>
      </c>
      <c r="BR42" s="2">
        <v>0</v>
      </c>
      <c r="BS42" s="2">
        <v>0</v>
      </c>
      <c r="BT42" s="2">
        <v>1</v>
      </c>
      <c r="BU42" s="2">
        <v>1</v>
      </c>
      <c r="BV42" s="2">
        <v>0</v>
      </c>
      <c r="BW42" s="2">
        <v>0</v>
      </c>
      <c r="BX42" s="2">
        <v>0</v>
      </c>
    </row>
    <row r="43" spans="23:76" x14ac:dyDescent="0.35">
      <c r="BK43" s="19" t="s">
        <v>98</v>
      </c>
      <c r="BL43" s="2">
        <v>9</v>
      </c>
      <c r="BM43" s="2">
        <v>1</v>
      </c>
      <c r="BN43" s="2">
        <v>2</v>
      </c>
      <c r="BO43" s="2">
        <v>2</v>
      </c>
      <c r="BP43" s="2">
        <v>0</v>
      </c>
      <c r="BQ43" s="2">
        <v>13</v>
      </c>
      <c r="BR43" s="2">
        <v>3</v>
      </c>
      <c r="BS43" s="2">
        <v>10</v>
      </c>
      <c r="BT43" s="2">
        <v>21</v>
      </c>
      <c r="BU43" s="2">
        <v>17</v>
      </c>
      <c r="BV43" s="2">
        <v>5</v>
      </c>
      <c r="BW43" s="2">
        <v>10</v>
      </c>
      <c r="BX43" s="2">
        <v>10</v>
      </c>
    </row>
    <row r="44" spans="23:76" x14ac:dyDescent="0.35">
      <c r="BK44" s="19" t="s">
        <v>99</v>
      </c>
      <c r="BL44" s="2">
        <v>0</v>
      </c>
      <c r="BM44" s="2">
        <v>0</v>
      </c>
      <c r="BN44" s="2">
        <v>0</v>
      </c>
      <c r="BO44" s="2">
        <v>0</v>
      </c>
      <c r="BP44" s="2">
        <v>0</v>
      </c>
      <c r="BQ44" s="2">
        <v>0</v>
      </c>
      <c r="BR44" s="2">
        <v>0</v>
      </c>
      <c r="BS44" s="2">
        <v>0</v>
      </c>
      <c r="BT44" s="2">
        <v>0</v>
      </c>
      <c r="BU44" s="2">
        <v>0</v>
      </c>
      <c r="BV44" s="2">
        <v>0</v>
      </c>
      <c r="BW44" s="2">
        <v>0</v>
      </c>
      <c r="BX44" s="2">
        <v>0</v>
      </c>
    </row>
    <row r="45" spans="23:76" x14ac:dyDescent="0.35">
      <c r="BK45" s="19" t="s">
        <v>100</v>
      </c>
      <c r="BL45" s="2">
        <v>0</v>
      </c>
      <c r="BM45" s="2">
        <v>0</v>
      </c>
      <c r="BN45" s="2">
        <v>0</v>
      </c>
      <c r="BO45" s="2">
        <v>0</v>
      </c>
      <c r="BP45" s="2">
        <v>0</v>
      </c>
      <c r="BQ45" s="2">
        <v>0</v>
      </c>
      <c r="BR45" s="2">
        <v>0</v>
      </c>
      <c r="BS45" s="2">
        <v>0</v>
      </c>
      <c r="BT45" s="2">
        <v>0</v>
      </c>
      <c r="BU45" s="2">
        <v>0</v>
      </c>
      <c r="BV45" s="2">
        <v>0</v>
      </c>
      <c r="BW45" s="2">
        <v>0</v>
      </c>
      <c r="BX45" s="2">
        <v>0</v>
      </c>
    </row>
    <row r="46" spans="23:76" x14ac:dyDescent="0.35">
      <c r="BK46" s="19" t="s">
        <v>260</v>
      </c>
      <c r="BL46" s="2">
        <v>23</v>
      </c>
      <c r="BM46" s="2">
        <v>4</v>
      </c>
      <c r="BN46" s="2">
        <v>4</v>
      </c>
      <c r="BO46" s="2">
        <v>19</v>
      </c>
      <c r="BP46" s="2">
        <v>30</v>
      </c>
      <c r="BQ46" s="2">
        <v>20</v>
      </c>
      <c r="BR46" s="2">
        <v>55</v>
      </c>
      <c r="BS46" s="2">
        <v>14</v>
      </c>
      <c r="BT46" s="2">
        <v>88</v>
      </c>
      <c r="BU46" s="2">
        <v>94</v>
      </c>
      <c r="BV46" s="2">
        <v>20</v>
      </c>
      <c r="BW46" s="2">
        <v>31</v>
      </c>
      <c r="BX46" s="2">
        <v>55</v>
      </c>
    </row>
    <row r="47" spans="23:76" x14ac:dyDescent="0.35">
      <c r="BK47" s="19" t="s">
        <v>101</v>
      </c>
      <c r="BL47" s="2">
        <v>0</v>
      </c>
      <c r="BM47" s="2">
        <v>0</v>
      </c>
      <c r="BN47" s="2">
        <v>0</v>
      </c>
      <c r="BO47" s="2">
        <v>0</v>
      </c>
      <c r="BP47" s="2">
        <v>2</v>
      </c>
      <c r="BQ47" s="2">
        <v>0</v>
      </c>
      <c r="BR47" s="2">
        <v>7</v>
      </c>
      <c r="BS47" s="2">
        <v>0</v>
      </c>
      <c r="BT47" s="2">
        <v>9</v>
      </c>
      <c r="BU47" s="2">
        <v>7</v>
      </c>
      <c r="BV47" s="2">
        <v>0</v>
      </c>
      <c r="BW47" s="2">
        <v>1</v>
      </c>
      <c r="BX47" s="2">
        <v>0</v>
      </c>
    </row>
    <row r="48" spans="23:76" x14ac:dyDescent="0.35">
      <c r="BK48" s="19" t="s">
        <v>102</v>
      </c>
      <c r="BL48" s="2">
        <v>0</v>
      </c>
      <c r="BM48" s="2">
        <v>0</v>
      </c>
      <c r="BN48" s="2">
        <v>0</v>
      </c>
      <c r="BO48" s="2">
        <v>0</v>
      </c>
      <c r="BP48" s="2">
        <v>0</v>
      </c>
      <c r="BQ48" s="2">
        <v>0</v>
      </c>
      <c r="BR48" s="2">
        <v>0</v>
      </c>
      <c r="BS48" s="2">
        <v>0</v>
      </c>
      <c r="BT48" s="2">
        <v>0</v>
      </c>
      <c r="BU48" s="2">
        <v>0</v>
      </c>
      <c r="BV48" s="2">
        <v>3</v>
      </c>
      <c r="BW48" s="2">
        <v>0</v>
      </c>
      <c r="BX48" s="2">
        <v>0</v>
      </c>
    </row>
    <row r="49" spans="63:76" x14ac:dyDescent="0.35">
      <c r="BK49" s="19" t="s">
        <v>103</v>
      </c>
      <c r="BL49" s="2">
        <v>61</v>
      </c>
      <c r="BM49" s="2">
        <v>9</v>
      </c>
      <c r="BN49" s="2">
        <v>5</v>
      </c>
      <c r="BO49" s="2">
        <v>23</v>
      </c>
      <c r="BP49" s="2">
        <v>7</v>
      </c>
      <c r="BQ49" s="2">
        <v>52</v>
      </c>
      <c r="BR49" s="2">
        <v>55</v>
      </c>
      <c r="BS49" s="2">
        <v>17</v>
      </c>
      <c r="BT49" s="2">
        <v>58</v>
      </c>
      <c r="BU49" s="2">
        <v>48</v>
      </c>
      <c r="BV49" s="2">
        <v>50</v>
      </c>
      <c r="BW49" s="2">
        <v>24</v>
      </c>
      <c r="BX49" s="2">
        <v>51</v>
      </c>
    </row>
    <row r="50" spans="63:76" x14ac:dyDescent="0.35">
      <c r="BK50" s="19" t="s">
        <v>104</v>
      </c>
      <c r="BL50" s="2">
        <v>9</v>
      </c>
      <c r="BM50" s="2">
        <v>0</v>
      </c>
      <c r="BN50" s="2">
        <v>0</v>
      </c>
      <c r="BO50" s="2">
        <v>0</v>
      </c>
      <c r="BP50" s="2">
        <v>8</v>
      </c>
      <c r="BQ50" s="2">
        <v>6</v>
      </c>
      <c r="BR50" s="2">
        <v>1</v>
      </c>
      <c r="BS50" s="2">
        <v>0</v>
      </c>
      <c r="BT50" s="2">
        <v>6</v>
      </c>
      <c r="BU50" s="2">
        <v>19</v>
      </c>
      <c r="BV50" s="2">
        <v>3</v>
      </c>
      <c r="BW50" s="2">
        <v>13</v>
      </c>
      <c r="BX50" s="2">
        <v>0</v>
      </c>
    </row>
    <row r="51" spans="63:76" x14ac:dyDescent="0.35">
      <c r="BK51" s="19" t="s">
        <v>105</v>
      </c>
      <c r="BL51" s="2">
        <v>23</v>
      </c>
      <c r="BM51" s="2">
        <v>2</v>
      </c>
      <c r="BN51" s="2">
        <v>10</v>
      </c>
      <c r="BO51" s="2">
        <v>23</v>
      </c>
      <c r="BP51" s="2">
        <v>6</v>
      </c>
      <c r="BQ51" s="2">
        <v>43</v>
      </c>
      <c r="BR51" s="2">
        <v>38</v>
      </c>
      <c r="BS51" s="2">
        <v>25</v>
      </c>
      <c r="BT51" s="2">
        <v>63</v>
      </c>
      <c r="BU51" s="2">
        <v>70</v>
      </c>
      <c r="BV51" s="2">
        <v>14</v>
      </c>
      <c r="BW51" s="2">
        <v>38</v>
      </c>
      <c r="BX51" s="2">
        <v>14</v>
      </c>
    </row>
    <row r="52" spans="63:76" x14ac:dyDescent="0.35">
      <c r="BK52" s="19" t="s">
        <v>106</v>
      </c>
      <c r="BL52" s="2">
        <v>0</v>
      </c>
      <c r="BM52" s="2">
        <v>0</v>
      </c>
      <c r="BN52" s="2">
        <v>0</v>
      </c>
      <c r="BO52" s="2">
        <v>0</v>
      </c>
      <c r="BP52" s="2">
        <v>0</v>
      </c>
      <c r="BQ52" s="2">
        <v>0</v>
      </c>
      <c r="BR52" s="2">
        <v>1</v>
      </c>
      <c r="BS52" s="2">
        <v>0</v>
      </c>
      <c r="BT52" s="2">
        <v>0</v>
      </c>
      <c r="BU52" s="2">
        <v>1</v>
      </c>
      <c r="BV52" s="2">
        <v>0</v>
      </c>
      <c r="BW52" s="2">
        <v>0</v>
      </c>
      <c r="BX52" s="2">
        <v>0</v>
      </c>
    </row>
    <row r="53" spans="63:76" x14ac:dyDescent="0.35">
      <c r="BK53" s="19" t="s">
        <v>107</v>
      </c>
      <c r="BL53" s="2">
        <v>6</v>
      </c>
      <c r="BM53" s="2">
        <v>1</v>
      </c>
      <c r="BN53" s="2">
        <v>3</v>
      </c>
      <c r="BO53" s="2">
        <v>2</v>
      </c>
      <c r="BP53" s="2">
        <v>5</v>
      </c>
      <c r="BQ53" s="2">
        <v>15</v>
      </c>
      <c r="BR53" s="2">
        <v>10</v>
      </c>
      <c r="BS53" s="2">
        <v>2</v>
      </c>
      <c r="BT53" s="2">
        <v>11</v>
      </c>
      <c r="BU53" s="2">
        <v>8</v>
      </c>
      <c r="BV53" s="2">
        <v>4</v>
      </c>
      <c r="BW53" s="2">
        <v>7</v>
      </c>
      <c r="BX53" s="2">
        <v>7</v>
      </c>
    </row>
    <row r="54" spans="63:76" x14ac:dyDescent="0.35">
      <c r="BK54" s="19" t="s">
        <v>108</v>
      </c>
      <c r="BL54" s="2">
        <v>1</v>
      </c>
      <c r="BM54" s="2">
        <v>0</v>
      </c>
      <c r="BN54" s="2">
        <v>1</v>
      </c>
      <c r="BO54" s="2">
        <v>0</v>
      </c>
      <c r="BP54" s="2">
        <v>0</v>
      </c>
      <c r="BQ54" s="2">
        <v>0</v>
      </c>
      <c r="BR54" s="2">
        <v>0</v>
      </c>
      <c r="BS54" s="2">
        <v>0</v>
      </c>
      <c r="BT54" s="2">
        <v>0</v>
      </c>
      <c r="BU54" s="2">
        <v>0</v>
      </c>
      <c r="BV54" s="2">
        <v>0</v>
      </c>
      <c r="BW54" s="2">
        <v>0</v>
      </c>
      <c r="BX54" s="2">
        <v>0</v>
      </c>
    </row>
    <row r="55" spans="63:76" x14ac:dyDescent="0.35">
      <c r="BK55" s="19" t="s">
        <v>109</v>
      </c>
      <c r="BL55" s="2">
        <v>2</v>
      </c>
      <c r="BM55" s="2">
        <v>9</v>
      </c>
      <c r="BN55" s="2">
        <v>1</v>
      </c>
      <c r="BO55" s="2">
        <v>1</v>
      </c>
      <c r="BP55" s="2">
        <v>0</v>
      </c>
      <c r="BQ55" s="2">
        <v>25</v>
      </c>
      <c r="BR55" s="2">
        <v>30</v>
      </c>
      <c r="BS55" s="2">
        <v>20</v>
      </c>
      <c r="BT55" s="2">
        <v>43</v>
      </c>
      <c r="BU55" s="2">
        <v>47</v>
      </c>
      <c r="BV55" s="2">
        <v>31</v>
      </c>
      <c r="BW55" s="2">
        <v>32</v>
      </c>
      <c r="BX55" s="2">
        <v>5</v>
      </c>
    </row>
    <row r="56" spans="63:76" x14ac:dyDescent="0.35">
      <c r="BK56" s="19" t="s">
        <v>261</v>
      </c>
      <c r="BL56" s="2">
        <v>1</v>
      </c>
      <c r="BM56" s="2">
        <v>4</v>
      </c>
      <c r="BN56" s="2">
        <v>0</v>
      </c>
      <c r="BO56" s="2">
        <v>2</v>
      </c>
      <c r="BP56" s="2">
        <v>0</v>
      </c>
      <c r="BQ56" s="2">
        <v>4</v>
      </c>
      <c r="BR56" s="2">
        <v>0</v>
      </c>
      <c r="BS56" s="2">
        <v>1</v>
      </c>
      <c r="BT56" s="2">
        <v>4</v>
      </c>
      <c r="BU56" s="2">
        <v>7</v>
      </c>
      <c r="BV56" s="2">
        <v>17</v>
      </c>
      <c r="BW56" s="2">
        <v>22</v>
      </c>
      <c r="BX56" s="2">
        <v>4</v>
      </c>
    </row>
    <row r="57" spans="63:76" x14ac:dyDescent="0.35">
      <c r="BK57" s="19" t="s">
        <v>221</v>
      </c>
      <c r="BL57" s="2">
        <v>10</v>
      </c>
      <c r="BM57" s="2">
        <v>1</v>
      </c>
      <c r="BN57" s="2">
        <v>8</v>
      </c>
      <c r="BO57" s="2">
        <v>0</v>
      </c>
      <c r="BP57" s="2">
        <v>0</v>
      </c>
      <c r="BQ57" s="2">
        <v>36</v>
      </c>
      <c r="BR57" s="2">
        <v>62</v>
      </c>
      <c r="BS57" s="2">
        <v>49</v>
      </c>
      <c r="BT57" s="2">
        <v>150</v>
      </c>
      <c r="BU57" s="2">
        <v>151</v>
      </c>
      <c r="BV57" s="2">
        <v>38</v>
      </c>
      <c r="BW57" s="2">
        <v>43</v>
      </c>
      <c r="BX57" s="2">
        <v>27</v>
      </c>
    </row>
    <row r="58" spans="63:76" x14ac:dyDescent="0.35">
      <c r="BK58" s="19" t="s">
        <v>110</v>
      </c>
      <c r="BL58" s="2">
        <v>5</v>
      </c>
      <c r="BM58" s="2">
        <v>1</v>
      </c>
      <c r="BN58" s="2">
        <v>1</v>
      </c>
      <c r="BO58" s="2">
        <v>4</v>
      </c>
      <c r="BP58" s="2">
        <v>0</v>
      </c>
      <c r="BQ58" s="2">
        <v>9</v>
      </c>
      <c r="BR58" s="2">
        <v>29</v>
      </c>
      <c r="BS58" s="2">
        <v>21</v>
      </c>
      <c r="BT58" s="2">
        <v>21</v>
      </c>
      <c r="BU58" s="2">
        <v>7</v>
      </c>
      <c r="BV58" s="2">
        <v>0</v>
      </c>
      <c r="BW58" s="2">
        <v>3</v>
      </c>
      <c r="BX58" s="2">
        <v>0</v>
      </c>
    </row>
    <row r="59" spans="63:76" x14ac:dyDescent="0.35">
      <c r="BK59" s="19" t="s">
        <v>111</v>
      </c>
      <c r="BL59" s="2">
        <v>20</v>
      </c>
      <c r="BM59" s="2">
        <v>14</v>
      </c>
      <c r="BN59" s="2">
        <v>7</v>
      </c>
      <c r="BO59" s="2">
        <v>14</v>
      </c>
      <c r="BP59" s="2">
        <v>18</v>
      </c>
      <c r="BQ59" s="2">
        <v>19</v>
      </c>
      <c r="BR59" s="2">
        <v>40</v>
      </c>
      <c r="BS59" s="2">
        <v>13</v>
      </c>
      <c r="BT59" s="2">
        <v>17</v>
      </c>
      <c r="BU59" s="2">
        <v>13</v>
      </c>
      <c r="BV59" s="2">
        <v>16</v>
      </c>
      <c r="BW59" s="2">
        <v>43</v>
      </c>
      <c r="BX59" s="2">
        <v>12</v>
      </c>
    </row>
    <row r="60" spans="63:76" x14ac:dyDescent="0.35">
      <c r="BK60" s="19" t="s">
        <v>112</v>
      </c>
      <c r="BL60" s="2">
        <v>106</v>
      </c>
      <c r="BM60" s="2">
        <v>13</v>
      </c>
      <c r="BN60" s="2">
        <v>5</v>
      </c>
      <c r="BO60" s="2">
        <v>32</v>
      </c>
      <c r="BP60" s="2">
        <v>17</v>
      </c>
      <c r="BQ60" s="2">
        <v>133</v>
      </c>
      <c r="BR60" s="2">
        <v>139</v>
      </c>
      <c r="BS60" s="2">
        <v>112</v>
      </c>
      <c r="BT60" s="2">
        <v>116</v>
      </c>
      <c r="BU60" s="2">
        <v>116</v>
      </c>
      <c r="BV60" s="2">
        <v>121</v>
      </c>
      <c r="BW60" s="2">
        <v>41</v>
      </c>
      <c r="BX60" s="2">
        <v>32</v>
      </c>
    </row>
    <row r="61" spans="63:76" x14ac:dyDescent="0.35">
      <c r="BK61" s="19" t="s">
        <v>432</v>
      </c>
      <c r="BL61" s="2">
        <v>37</v>
      </c>
      <c r="BM61" s="2">
        <v>4</v>
      </c>
      <c r="BN61" s="2">
        <v>3</v>
      </c>
      <c r="BO61" s="2">
        <v>14</v>
      </c>
      <c r="BP61" s="2">
        <v>23</v>
      </c>
      <c r="BQ61" s="2">
        <v>124</v>
      </c>
      <c r="BR61" s="2">
        <v>112</v>
      </c>
      <c r="BS61" s="2">
        <v>95</v>
      </c>
      <c r="BT61" s="2">
        <v>94</v>
      </c>
      <c r="BU61" s="2">
        <v>91</v>
      </c>
      <c r="BV61" s="2">
        <v>52</v>
      </c>
      <c r="BW61" s="2">
        <v>23</v>
      </c>
      <c r="BX61" s="2">
        <v>21</v>
      </c>
    </row>
    <row r="62" spans="63:76" x14ac:dyDescent="0.35">
      <c r="BK62" s="19" t="s">
        <v>113</v>
      </c>
      <c r="BL62" s="2">
        <v>0</v>
      </c>
      <c r="BM62" s="2">
        <v>1</v>
      </c>
      <c r="BN62" s="2">
        <v>0</v>
      </c>
      <c r="BO62" s="2">
        <v>0</v>
      </c>
      <c r="BP62" s="2">
        <v>0</v>
      </c>
      <c r="BQ62" s="2">
        <v>1</v>
      </c>
      <c r="BR62" s="2">
        <v>2</v>
      </c>
      <c r="BS62" s="2">
        <v>0</v>
      </c>
      <c r="BT62" s="2">
        <v>0</v>
      </c>
      <c r="BU62" s="2">
        <v>0</v>
      </c>
      <c r="BV62" s="2">
        <v>0</v>
      </c>
      <c r="BW62" s="2">
        <v>0</v>
      </c>
      <c r="BX62" s="2">
        <v>0</v>
      </c>
    </row>
    <row r="63" spans="63:76" x14ac:dyDescent="0.35">
      <c r="BK63" s="19" t="s">
        <v>114</v>
      </c>
      <c r="BL63" s="2">
        <v>23</v>
      </c>
      <c r="BM63" s="2">
        <v>1</v>
      </c>
      <c r="BN63" s="2">
        <v>0</v>
      </c>
      <c r="BO63" s="2">
        <v>0</v>
      </c>
      <c r="BP63" s="2">
        <v>0</v>
      </c>
      <c r="BQ63" s="2">
        <v>21</v>
      </c>
      <c r="BR63" s="2">
        <v>15</v>
      </c>
      <c r="BS63" s="2">
        <v>5</v>
      </c>
      <c r="BT63" s="2">
        <v>21</v>
      </c>
      <c r="BU63" s="2">
        <v>22</v>
      </c>
      <c r="BV63" s="2">
        <v>6</v>
      </c>
      <c r="BW63" s="2">
        <v>0</v>
      </c>
      <c r="BX63" s="2">
        <v>0</v>
      </c>
    </row>
    <row r="64" spans="63:76" x14ac:dyDescent="0.35">
      <c r="BK64" s="19" t="s">
        <v>115</v>
      </c>
      <c r="BL64" s="2">
        <v>8</v>
      </c>
      <c r="BM64" s="2">
        <v>2</v>
      </c>
      <c r="BN64" s="2">
        <v>2</v>
      </c>
      <c r="BO64" s="2">
        <v>0</v>
      </c>
      <c r="BP64" s="2">
        <v>0</v>
      </c>
      <c r="BQ64" s="2">
        <v>9</v>
      </c>
      <c r="BR64" s="2">
        <v>22</v>
      </c>
      <c r="BS64" s="2">
        <v>0</v>
      </c>
      <c r="BT64" s="2">
        <v>15</v>
      </c>
      <c r="BU64" s="2">
        <v>12</v>
      </c>
      <c r="BV64" s="2">
        <v>3</v>
      </c>
      <c r="BW64" s="2">
        <v>7</v>
      </c>
      <c r="BX64" s="2">
        <v>4</v>
      </c>
    </row>
    <row r="65" spans="63:76" x14ac:dyDescent="0.35">
      <c r="BK65" s="19" t="s">
        <v>116</v>
      </c>
      <c r="BL65" s="2">
        <v>2</v>
      </c>
      <c r="BM65" s="2">
        <v>32</v>
      </c>
      <c r="BN65" s="2">
        <v>2</v>
      </c>
      <c r="BO65" s="2">
        <v>1</v>
      </c>
      <c r="BP65" s="2">
        <v>0</v>
      </c>
      <c r="BQ65" s="2">
        <v>31</v>
      </c>
      <c r="BR65" s="2">
        <v>50</v>
      </c>
      <c r="BS65" s="2">
        <v>18</v>
      </c>
      <c r="BT65" s="2">
        <v>66</v>
      </c>
      <c r="BU65" s="2">
        <v>46</v>
      </c>
      <c r="BV65" s="2">
        <v>84</v>
      </c>
      <c r="BW65" s="2">
        <v>93</v>
      </c>
      <c r="BX65" s="2">
        <v>35</v>
      </c>
    </row>
    <row r="66" spans="63:76" x14ac:dyDescent="0.35">
      <c r="BK66" s="19" t="s">
        <v>117</v>
      </c>
      <c r="BL66" s="2">
        <v>12</v>
      </c>
      <c r="BM66" s="2">
        <v>25</v>
      </c>
      <c r="BN66" s="2">
        <v>0</v>
      </c>
      <c r="BO66" s="2">
        <v>32</v>
      </c>
      <c r="BP66" s="2">
        <v>0</v>
      </c>
      <c r="BQ66" s="2">
        <v>4</v>
      </c>
      <c r="BR66" s="2">
        <v>40</v>
      </c>
      <c r="BS66" s="2">
        <v>0</v>
      </c>
      <c r="BT66" s="2">
        <v>0</v>
      </c>
      <c r="BU66" s="2">
        <v>24</v>
      </c>
      <c r="BV66" s="2">
        <v>11</v>
      </c>
      <c r="BW66" s="2">
        <v>68</v>
      </c>
      <c r="BX66" s="2">
        <v>5</v>
      </c>
    </row>
    <row r="67" spans="63:76" x14ac:dyDescent="0.35">
      <c r="BK67" s="19" t="s">
        <v>289</v>
      </c>
      <c r="BL67" s="2">
        <v>4</v>
      </c>
      <c r="BM67" s="2">
        <v>2</v>
      </c>
      <c r="BN67" s="2">
        <v>1</v>
      </c>
      <c r="BO67" s="2">
        <v>0</v>
      </c>
      <c r="BP67" s="2">
        <v>0</v>
      </c>
      <c r="BQ67" s="2">
        <v>4</v>
      </c>
      <c r="BR67" s="2">
        <v>3</v>
      </c>
      <c r="BS67" s="2">
        <v>5</v>
      </c>
      <c r="BT67" s="2">
        <v>38</v>
      </c>
      <c r="BU67" s="2">
        <v>23</v>
      </c>
      <c r="BV67" s="2">
        <v>9</v>
      </c>
      <c r="BW67" s="2">
        <v>11</v>
      </c>
      <c r="BX67" s="2">
        <v>5</v>
      </c>
    </row>
    <row r="68" spans="63:76" x14ac:dyDescent="0.35">
      <c r="BK68" s="19" t="s">
        <v>118</v>
      </c>
      <c r="BL68" s="2">
        <v>0</v>
      </c>
      <c r="BM68" s="2">
        <v>16</v>
      </c>
      <c r="BN68" s="2">
        <v>3</v>
      </c>
      <c r="BO68" s="2">
        <v>5</v>
      </c>
      <c r="BP68" s="2">
        <v>0</v>
      </c>
      <c r="BQ68" s="2">
        <v>17</v>
      </c>
      <c r="BR68" s="2">
        <v>45</v>
      </c>
      <c r="BS68" s="2">
        <v>49</v>
      </c>
      <c r="BT68" s="2">
        <v>44</v>
      </c>
      <c r="BU68" s="2">
        <v>75</v>
      </c>
      <c r="BV68" s="2">
        <v>27</v>
      </c>
      <c r="BW68" s="2">
        <v>25</v>
      </c>
      <c r="BX68" s="2">
        <v>26</v>
      </c>
    </row>
    <row r="69" spans="63:76" x14ac:dyDescent="0.35">
      <c r="BK69" s="19" t="s">
        <v>119</v>
      </c>
      <c r="BL69" s="2">
        <v>7</v>
      </c>
      <c r="BM69" s="2">
        <v>3</v>
      </c>
      <c r="BN69" s="2">
        <v>0</v>
      </c>
      <c r="BO69" s="2">
        <v>0</v>
      </c>
      <c r="BP69" s="2">
        <v>0</v>
      </c>
      <c r="BQ69" s="2">
        <v>3</v>
      </c>
      <c r="BR69" s="2">
        <v>2</v>
      </c>
      <c r="BS69" s="2">
        <v>1</v>
      </c>
      <c r="BT69" s="2">
        <v>9</v>
      </c>
      <c r="BU69" s="2">
        <v>3</v>
      </c>
      <c r="BV69" s="2">
        <v>0</v>
      </c>
      <c r="BW69" s="2">
        <v>0</v>
      </c>
      <c r="BX69" s="2">
        <v>1</v>
      </c>
    </row>
    <row r="70" spans="63:76" x14ac:dyDescent="0.35">
      <c r="BK70" s="19" t="s">
        <v>120</v>
      </c>
      <c r="BL70" s="2">
        <v>134</v>
      </c>
      <c r="BM70" s="2">
        <v>122</v>
      </c>
      <c r="BN70" s="2">
        <v>39</v>
      </c>
      <c r="BO70" s="2">
        <v>45</v>
      </c>
      <c r="BP70" s="2">
        <v>59</v>
      </c>
      <c r="BQ70" s="2">
        <v>171</v>
      </c>
      <c r="BR70" s="2">
        <v>186</v>
      </c>
      <c r="BS70" s="2">
        <v>66</v>
      </c>
      <c r="BT70" s="2">
        <v>165</v>
      </c>
      <c r="BU70" s="2">
        <v>157</v>
      </c>
      <c r="BV70" s="2">
        <v>127</v>
      </c>
      <c r="BW70" s="2">
        <v>89</v>
      </c>
      <c r="BX70" s="2">
        <v>113</v>
      </c>
    </row>
    <row r="71" spans="63:76" x14ac:dyDescent="0.35">
      <c r="BK71" s="19" t="s">
        <v>121</v>
      </c>
      <c r="BL71" s="2">
        <v>21</v>
      </c>
      <c r="BM71" s="2">
        <v>16</v>
      </c>
      <c r="BN71" s="2">
        <v>1</v>
      </c>
      <c r="BO71" s="2">
        <v>1</v>
      </c>
      <c r="BP71" s="2">
        <v>7</v>
      </c>
      <c r="BQ71" s="2">
        <v>1</v>
      </c>
      <c r="BR71" s="2">
        <v>30</v>
      </c>
      <c r="BS71" s="2">
        <v>19</v>
      </c>
      <c r="BT71" s="2">
        <v>68</v>
      </c>
      <c r="BU71" s="2">
        <v>99</v>
      </c>
      <c r="BV71" s="2">
        <v>35</v>
      </c>
      <c r="BW71" s="2">
        <v>16</v>
      </c>
      <c r="BX71" s="2">
        <v>2</v>
      </c>
    </row>
    <row r="72" spans="63:76" x14ac:dyDescent="0.35">
      <c r="BK72" s="19" t="s">
        <v>122</v>
      </c>
      <c r="BL72" s="2">
        <v>1</v>
      </c>
      <c r="BM72" s="2">
        <v>0</v>
      </c>
      <c r="BN72" s="2">
        <v>0</v>
      </c>
      <c r="BO72" s="2">
        <v>0</v>
      </c>
      <c r="BP72" s="2">
        <v>0</v>
      </c>
      <c r="BQ72" s="2">
        <v>1</v>
      </c>
      <c r="BR72" s="2">
        <v>0</v>
      </c>
      <c r="BS72" s="2">
        <v>1</v>
      </c>
      <c r="BT72" s="2">
        <v>1</v>
      </c>
      <c r="BU72" s="2">
        <v>0</v>
      </c>
      <c r="BV72" s="2">
        <v>0</v>
      </c>
      <c r="BW72" s="2">
        <v>0</v>
      </c>
      <c r="BX72" s="2">
        <v>0</v>
      </c>
    </row>
    <row r="73" spans="63:76" x14ac:dyDescent="0.35">
      <c r="BK73" s="19" t="s">
        <v>123</v>
      </c>
      <c r="BL73" s="2">
        <v>51</v>
      </c>
      <c r="BM73" s="2">
        <v>31</v>
      </c>
      <c r="BN73" s="2">
        <v>31</v>
      </c>
      <c r="BO73" s="2">
        <v>79</v>
      </c>
      <c r="BP73" s="2">
        <v>82</v>
      </c>
      <c r="BQ73" s="2">
        <v>66</v>
      </c>
      <c r="BR73" s="2">
        <v>46</v>
      </c>
      <c r="BS73" s="2">
        <v>28</v>
      </c>
      <c r="BT73" s="2">
        <v>109</v>
      </c>
      <c r="BU73" s="2">
        <v>48</v>
      </c>
      <c r="BV73" s="2">
        <v>1</v>
      </c>
      <c r="BW73" s="2">
        <v>37</v>
      </c>
      <c r="BX73" s="2">
        <v>33</v>
      </c>
    </row>
    <row r="74" spans="63:76" x14ac:dyDescent="0.35">
      <c r="BK74" s="19" t="s">
        <v>124</v>
      </c>
      <c r="BL74" s="2">
        <v>8</v>
      </c>
      <c r="BM74" s="2">
        <v>37</v>
      </c>
      <c r="BN74" s="2">
        <v>10</v>
      </c>
      <c r="BO74" s="2">
        <v>13</v>
      </c>
      <c r="BP74" s="2">
        <v>3</v>
      </c>
      <c r="BQ74" s="2">
        <v>13</v>
      </c>
      <c r="BR74" s="2">
        <v>12</v>
      </c>
      <c r="BS74" s="2">
        <v>0</v>
      </c>
      <c r="BT74" s="2">
        <v>0</v>
      </c>
      <c r="BU74" s="2">
        <v>1</v>
      </c>
      <c r="BV74" s="2">
        <v>2</v>
      </c>
      <c r="BW74" s="2">
        <v>11</v>
      </c>
      <c r="BX74" s="2">
        <v>23</v>
      </c>
    </row>
    <row r="75" spans="63:76" x14ac:dyDescent="0.35">
      <c r="BK75" s="19" t="s">
        <v>125</v>
      </c>
      <c r="BL75" s="2">
        <v>9</v>
      </c>
      <c r="BM75" s="2">
        <v>5</v>
      </c>
      <c r="BN75" s="2">
        <v>1</v>
      </c>
      <c r="BO75" s="2">
        <v>65</v>
      </c>
      <c r="BP75" s="2">
        <v>14</v>
      </c>
      <c r="BQ75" s="2">
        <v>2</v>
      </c>
      <c r="BR75" s="2">
        <v>13</v>
      </c>
      <c r="BS75" s="2">
        <v>2</v>
      </c>
      <c r="BT75" s="2">
        <v>2</v>
      </c>
      <c r="BU75" s="2">
        <v>5</v>
      </c>
      <c r="BV75" s="2">
        <v>6</v>
      </c>
      <c r="BW75" s="2">
        <v>6</v>
      </c>
      <c r="BX75" s="2">
        <v>3</v>
      </c>
    </row>
    <row r="76" spans="63:76" x14ac:dyDescent="0.35">
      <c r="BK76" s="19" t="s">
        <v>126</v>
      </c>
      <c r="BL76" s="2">
        <v>15</v>
      </c>
      <c r="BM76" s="2">
        <v>11</v>
      </c>
      <c r="BN76" s="2">
        <v>0</v>
      </c>
      <c r="BO76" s="2">
        <v>1</v>
      </c>
      <c r="BP76" s="2">
        <v>0</v>
      </c>
      <c r="BQ76" s="2">
        <v>13</v>
      </c>
      <c r="BR76" s="2">
        <v>22</v>
      </c>
      <c r="BS76" s="2">
        <v>7</v>
      </c>
      <c r="BT76" s="2">
        <v>0</v>
      </c>
      <c r="BU76" s="2">
        <v>11</v>
      </c>
      <c r="BV76" s="2">
        <v>13</v>
      </c>
      <c r="BW76" s="2">
        <v>14</v>
      </c>
      <c r="BX76" s="2">
        <v>0</v>
      </c>
    </row>
    <row r="77" spans="63:76" x14ac:dyDescent="0.35">
      <c r="BK77" s="19" t="s">
        <v>127</v>
      </c>
      <c r="BL77" s="2">
        <v>28</v>
      </c>
      <c r="BM77" s="2">
        <v>19</v>
      </c>
      <c r="BN77" s="2">
        <v>8</v>
      </c>
      <c r="BO77" s="2">
        <v>14</v>
      </c>
      <c r="BP77" s="2">
        <v>13</v>
      </c>
      <c r="BQ77" s="2">
        <v>31</v>
      </c>
      <c r="BR77" s="2">
        <v>26</v>
      </c>
      <c r="BS77" s="2">
        <v>9</v>
      </c>
      <c r="BT77" s="2">
        <v>40</v>
      </c>
      <c r="BU77" s="2">
        <v>25</v>
      </c>
      <c r="BV77" s="2">
        <v>17</v>
      </c>
      <c r="BW77" s="2">
        <v>32</v>
      </c>
      <c r="BX77" s="2">
        <v>20</v>
      </c>
    </row>
    <row r="78" spans="63:76" x14ac:dyDescent="0.35">
      <c r="BK78" s="19" t="s">
        <v>433</v>
      </c>
      <c r="BL78" s="2">
        <v>102</v>
      </c>
      <c r="BM78" s="2">
        <v>6</v>
      </c>
      <c r="BN78" s="2">
        <v>0</v>
      </c>
      <c r="BO78" s="2">
        <v>0</v>
      </c>
      <c r="BP78" s="2">
        <v>0</v>
      </c>
      <c r="BQ78" s="2">
        <v>205</v>
      </c>
      <c r="BR78" s="2">
        <v>124</v>
      </c>
      <c r="BS78" s="2">
        <v>109</v>
      </c>
      <c r="BT78" s="2">
        <v>194</v>
      </c>
      <c r="BU78" s="2">
        <v>254</v>
      </c>
      <c r="BV78" s="2">
        <v>91</v>
      </c>
      <c r="BW78" s="2">
        <v>52</v>
      </c>
      <c r="BX78" s="2">
        <v>7</v>
      </c>
    </row>
    <row r="79" spans="63:76" x14ac:dyDescent="0.35">
      <c r="BK79" s="19" t="s">
        <v>128</v>
      </c>
      <c r="BL79" s="2">
        <v>25</v>
      </c>
      <c r="BM79" s="2">
        <v>7</v>
      </c>
      <c r="BN79" s="2">
        <v>4</v>
      </c>
      <c r="BO79" s="2">
        <v>2</v>
      </c>
      <c r="BP79" s="2">
        <v>1</v>
      </c>
      <c r="BQ79" s="2">
        <v>18</v>
      </c>
      <c r="BR79" s="2">
        <v>17</v>
      </c>
      <c r="BS79" s="2">
        <v>64</v>
      </c>
      <c r="BT79" s="2">
        <v>26</v>
      </c>
      <c r="BU79" s="2">
        <v>42</v>
      </c>
      <c r="BV79" s="2">
        <v>7</v>
      </c>
      <c r="BW79" s="2">
        <v>4</v>
      </c>
      <c r="BX79" s="2">
        <v>10</v>
      </c>
    </row>
    <row r="80" spans="63:76" x14ac:dyDescent="0.35">
      <c r="BK80" s="19" t="s">
        <v>129</v>
      </c>
      <c r="BL80" s="2">
        <v>0</v>
      </c>
      <c r="BM80" s="2">
        <v>75</v>
      </c>
      <c r="BN80" s="2">
        <v>46</v>
      </c>
      <c r="BO80" s="2">
        <v>68</v>
      </c>
      <c r="BP80" s="2">
        <v>26</v>
      </c>
      <c r="BQ80" s="2">
        <v>1</v>
      </c>
      <c r="BR80" s="2">
        <v>2</v>
      </c>
      <c r="BS80" s="2">
        <v>2</v>
      </c>
      <c r="BT80" s="2">
        <v>41</v>
      </c>
      <c r="BU80" s="2">
        <v>88</v>
      </c>
      <c r="BV80" s="2">
        <v>62</v>
      </c>
      <c r="BW80" s="2">
        <v>55</v>
      </c>
      <c r="BX80" s="2">
        <v>64</v>
      </c>
    </row>
    <row r="81" spans="63:76" x14ac:dyDescent="0.35">
      <c r="BK81" s="19" t="s">
        <v>130</v>
      </c>
      <c r="BL81" s="2">
        <v>0</v>
      </c>
      <c r="BM81" s="2">
        <v>0</v>
      </c>
      <c r="BN81" s="2">
        <v>0</v>
      </c>
      <c r="BO81" s="2">
        <v>0</v>
      </c>
      <c r="BP81" s="2">
        <v>0</v>
      </c>
      <c r="BQ81" s="2">
        <v>0</v>
      </c>
      <c r="BR81" s="2">
        <v>0</v>
      </c>
      <c r="BS81" s="2">
        <v>0</v>
      </c>
      <c r="BT81" s="2">
        <v>0</v>
      </c>
      <c r="BU81" s="2">
        <v>0</v>
      </c>
      <c r="BV81" s="2">
        <v>0</v>
      </c>
      <c r="BW81" s="2">
        <v>0</v>
      </c>
      <c r="BX81" s="2">
        <v>0</v>
      </c>
    </row>
    <row r="82" spans="63:76" x14ac:dyDescent="0.35">
      <c r="BK82" s="19" t="s">
        <v>131</v>
      </c>
      <c r="BL82" s="2">
        <v>16</v>
      </c>
      <c r="BM82" s="2">
        <v>9</v>
      </c>
      <c r="BN82" s="2">
        <v>7</v>
      </c>
      <c r="BO82" s="2">
        <v>6</v>
      </c>
      <c r="BP82" s="2">
        <v>5</v>
      </c>
      <c r="BQ82" s="2">
        <v>34</v>
      </c>
      <c r="BR82" s="2">
        <v>60</v>
      </c>
      <c r="BS82" s="2">
        <v>113</v>
      </c>
      <c r="BT82" s="2">
        <v>152</v>
      </c>
      <c r="BU82" s="2">
        <v>128</v>
      </c>
      <c r="BV82" s="2">
        <v>28</v>
      </c>
      <c r="BW82" s="2">
        <v>46</v>
      </c>
      <c r="BX82" s="2">
        <v>37</v>
      </c>
    </row>
    <row r="83" spans="63:76" x14ac:dyDescent="0.35">
      <c r="BK83" s="19" t="s">
        <v>262</v>
      </c>
      <c r="BL83" s="2">
        <v>7</v>
      </c>
      <c r="BM83" s="2">
        <v>0</v>
      </c>
      <c r="BN83" s="2">
        <v>1</v>
      </c>
      <c r="BO83" s="2">
        <v>8</v>
      </c>
      <c r="BP83" s="2">
        <v>1</v>
      </c>
      <c r="BQ83" s="2">
        <v>6</v>
      </c>
      <c r="BR83" s="2">
        <v>15</v>
      </c>
      <c r="BS83" s="2">
        <v>0</v>
      </c>
      <c r="BT83" s="2">
        <v>7</v>
      </c>
      <c r="BU83" s="2">
        <v>5</v>
      </c>
      <c r="BV83" s="2">
        <v>0</v>
      </c>
      <c r="BW83" s="2">
        <v>8</v>
      </c>
      <c r="BX83" s="2">
        <v>0</v>
      </c>
    </row>
    <row r="84" spans="63:76" x14ac:dyDescent="0.35">
      <c r="BK84" s="19" t="s">
        <v>132</v>
      </c>
      <c r="BL84" s="2">
        <v>89</v>
      </c>
      <c r="BM84" s="2">
        <v>62</v>
      </c>
      <c r="BN84" s="2">
        <v>23</v>
      </c>
      <c r="BO84" s="2">
        <v>76</v>
      </c>
      <c r="BP84" s="2">
        <v>27</v>
      </c>
      <c r="BQ84" s="2">
        <v>142</v>
      </c>
      <c r="BR84" s="2">
        <v>110</v>
      </c>
      <c r="BS84" s="2">
        <v>8</v>
      </c>
      <c r="BT84" s="2">
        <v>38</v>
      </c>
      <c r="BU84" s="2">
        <v>66</v>
      </c>
      <c r="BV84" s="2">
        <v>49</v>
      </c>
      <c r="BW84" s="2">
        <v>63</v>
      </c>
      <c r="BX84" s="2">
        <v>33</v>
      </c>
    </row>
    <row r="85" spans="63:76" x14ac:dyDescent="0.35">
      <c r="BK85" s="19" t="s">
        <v>133</v>
      </c>
      <c r="BL85" s="2">
        <v>0</v>
      </c>
      <c r="BM85" s="2">
        <v>0</v>
      </c>
      <c r="BN85" s="2">
        <v>0</v>
      </c>
      <c r="BO85" s="2">
        <v>0</v>
      </c>
      <c r="BP85" s="2">
        <v>3</v>
      </c>
      <c r="BQ85" s="2">
        <v>6</v>
      </c>
      <c r="BR85" s="2">
        <v>1</v>
      </c>
      <c r="BS85" s="2">
        <v>0</v>
      </c>
      <c r="BT85" s="2">
        <v>8</v>
      </c>
      <c r="BU85" s="2">
        <v>13</v>
      </c>
      <c r="BV85" s="2">
        <v>6</v>
      </c>
      <c r="BW85" s="2">
        <v>3</v>
      </c>
      <c r="BX85" s="2">
        <v>2</v>
      </c>
    </row>
    <row r="86" spans="63:76" x14ac:dyDescent="0.35">
      <c r="BK86" s="19" t="s">
        <v>134</v>
      </c>
      <c r="BL86" s="2">
        <v>5</v>
      </c>
      <c r="BM86" s="2">
        <v>1</v>
      </c>
      <c r="BN86" s="2">
        <v>0</v>
      </c>
      <c r="BO86" s="2">
        <v>2</v>
      </c>
      <c r="BP86" s="2">
        <v>7</v>
      </c>
      <c r="BQ86" s="2">
        <v>5</v>
      </c>
      <c r="BR86" s="2">
        <v>0</v>
      </c>
      <c r="BS86" s="2">
        <v>3</v>
      </c>
      <c r="BT86" s="2">
        <v>25</v>
      </c>
      <c r="BU86" s="2">
        <v>27</v>
      </c>
      <c r="BV86" s="2">
        <v>39</v>
      </c>
      <c r="BW86" s="2">
        <v>27</v>
      </c>
      <c r="BX86" s="2">
        <v>1</v>
      </c>
    </row>
    <row r="87" spans="63:76" x14ac:dyDescent="0.35">
      <c r="BK87" s="19" t="s">
        <v>135</v>
      </c>
      <c r="BL87" s="2">
        <v>1</v>
      </c>
      <c r="BM87" s="2">
        <v>21</v>
      </c>
      <c r="BN87" s="2">
        <v>14</v>
      </c>
      <c r="BO87" s="2">
        <v>20</v>
      </c>
      <c r="BP87" s="2">
        <v>34</v>
      </c>
      <c r="BQ87" s="2">
        <v>0</v>
      </c>
      <c r="BR87" s="2">
        <v>3</v>
      </c>
      <c r="BS87" s="2">
        <v>3</v>
      </c>
      <c r="BT87" s="2">
        <v>24</v>
      </c>
      <c r="BU87" s="2">
        <v>111</v>
      </c>
      <c r="BV87" s="2">
        <v>91</v>
      </c>
      <c r="BW87" s="2">
        <v>92</v>
      </c>
      <c r="BX87" s="2">
        <v>61</v>
      </c>
    </row>
    <row r="88" spans="63:76" x14ac:dyDescent="0.35">
      <c r="BK88" s="19" t="s">
        <v>136</v>
      </c>
      <c r="BL88" s="2">
        <v>0</v>
      </c>
      <c r="BM88" s="2">
        <v>0</v>
      </c>
      <c r="BN88" s="2">
        <v>0</v>
      </c>
      <c r="BO88" s="2">
        <v>0</v>
      </c>
      <c r="BP88" s="2">
        <v>0</v>
      </c>
      <c r="BQ88" s="2">
        <v>0</v>
      </c>
      <c r="BR88" s="2">
        <v>0</v>
      </c>
      <c r="BS88" s="2">
        <v>0</v>
      </c>
      <c r="BT88" s="2">
        <v>0</v>
      </c>
      <c r="BU88" s="2">
        <v>0</v>
      </c>
      <c r="BV88" s="2">
        <v>0</v>
      </c>
      <c r="BW88" s="2">
        <v>0</v>
      </c>
      <c r="BX88" s="2">
        <v>0</v>
      </c>
    </row>
    <row r="89" spans="63:76" x14ac:dyDescent="0.35">
      <c r="BK89" s="19" t="s">
        <v>137</v>
      </c>
      <c r="BL89" s="2">
        <v>17</v>
      </c>
      <c r="BM89" s="2">
        <v>18</v>
      </c>
      <c r="BN89" s="2">
        <v>28</v>
      </c>
      <c r="BO89" s="2">
        <v>31</v>
      </c>
      <c r="BP89" s="2">
        <v>24</v>
      </c>
      <c r="BQ89" s="2">
        <v>11</v>
      </c>
      <c r="BR89" s="2">
        <v>43</v>
      </c>
      <c r="BS89" s="2">
        <v>2</v>
      </c>
      <c r="BT89" s="2">
        <v>29</v>
      </c>
      <c r="BU89" s="2">
        <v>34</v>
      </c>
      <c r="BV89" s="2">
        <v>4</v>
      </c>
      <c r="BW89" s="2">
        <v>21</v>
      </c>
      <c r="BX89" s="2">
        <v>28</v>
      </c>
    </row>
    <row r="90" spans="63:76" x14ac:dyDescent="0.35">
      <c r="BK90" s="19" t="s">
        <v>138</v>
      </c>
      <c r="BL90" s="2">
        <v>0</v>
      </c>
      <c r="BM90" s="2">
        <v>4</v>
      </c>
      <c r="BN90" s="2">
        <v>1</v>
      </c>
      <c r="BO90" s="2">
        <v>0</v>
      </c>
      <c r="BP90" s="2">
        <v>3</v>
      </c>
      <c r="BQ90" s="2">
        <v>1</v>
      </c>
      <c r="BR90" s="2">
        <v>0</v>
      </c>
      <c r="BS90" s="2">
        <v>0</v>
      </c>
      <c r="BT90" s="2">
        <v>1</v>
      </c>
      <c r="BU90" s="2">
        <v>0</v>
      </c>
      <c r="BV90" s="2">
        <v>1</v>
      </c>
      <c r="BW90" s="2">
        <v>1</v>
      </c>
      <c r="BX90" s="2">
        <v>0</v>
      </c>
    </row>
    <row r="91" spans="63:76" x14ac:dyDescent="0.35">
      <c r="BK91" s="19" t="s">
        <v>139</v>
      </c>
      <c r="BL91" s="2">
        <v>99</v>
      </c>
      <c r="BM91" s="2">
        <v>45</v>
      </c>
      <c r="BN91" s="2">
        <v>33</v>
      </c>
      <c r="BO91" s="2">
        <v>130</v>
      </c>
      <c r="BP91" s="2">
        <v>57</v>
      </c>
      <c r="BQ91" s="2">
        <v>103</v>
      </c>
      <c r="BR91" s="2">
        <v>52</v>
      </c>
      <c r="BS91" s="2">
        <v>71</v>
      </c>
      <c r="BT91" s="2">
        <v>90</v>
      </c>
      <c r="BU91" s="2">
        <v>75</v>
      </c>
      <c r="BV91" s="2">
        <v>105</v>
      </c>
      <c r="BW91" s="2">
        <v>81</v>
      </c>
      <c r="BX91" s="2">
        <v>89</v>
      </c>
    </row>
    <row r="92" spans="63:76" x14ac:dyDescent="0.35">
      <c r="BK92" s="19" t="s">
        <v>436</v>
      </c>
      <c r="BL92" s="2">
        <v>1</v>
      </c>
      <c r="BM92" s="2">
        <v>0</v>
      </c>
      <c r="BN92" s="2">
        <v>0</v>
      </c>
      <c r="BO92" s="2">
        <v>1</v>
      </c>
      <c r="BP92" s="2">
        <v>0</v>
      </c>
      <c r="BQ92" s="2">
        <v>0</v>
      </c>
      <c r="BR92" s="2">
        <v>0</v>
      </c>
      <c r="BS92" s="2">
        <v>2</v>
      </c>
      <c r="BT92" s="2">
        <v>1</v>
      </c>
      <c r="BU92" s="2">
        <v>1</v>
      </c>
      <c r="BV92" s="2">
        <v>0</v>
      </c>
      <c r="BW92" s="2">
        <v>2</v>
      </c>
      <c r="BX92" s="2">
        <v>0</v>
      </c>
    </row>
    <row r="93" spans="63:76" x14ac:dyDescent="0.35">
      <c r="BK93" s="19" t="s">
        <v>140</v>
      </c>
      <c r="BL93" s="2">
        <v>4</v>
      </c>
      <c r="BM93" s="2">
        <v>1</v>
      </c>
      <c r="BN93" s="2">
        <v>0</v>
      </c>
      <c r="BO93" s="2">
        <v>10</v>
      </c>
      <c r="BP93" s="2">
        <v>8</v>
      </c>
      <c r="BQ93" s="2">
        <v>5</v>
      </c>
      <c r="BR93" s="2">
        <v>7</v>
      </c>
      <c r="BS93" s="2">
        <v>5</v>
      </c>
      <c r="BT93" s="2">
        <v>14</v>
      </c>
      <c r="BU93" s="2">
        <v>9</v>
      </c>
      <c r="BV93" s="2">
        <v>7</v>
      </c>
      <c r="BW93" s="2">
        <v>6</v>
      </c>
      <c r="BX93" s="2">
        <v>6</v>
      </c>
    </row>
    <row r="94" spans="63:76" x14ac:dyDescent="0.35">
      <c r="BK94" s="19" t="s">
        <v>290</v>
      </c>
      <c r="BL94" s="2">
        <v>1</v>
      </c>
      <c r="BM94" s="2">
        <v>4</v>
      </c>
      <c r="BN94" s="2">
        <v>13</v>
      </c>
      <c r="BO94" s="2">
        <v>8</v>
      </c>
      <c r="BP94" s="2">
        <v>10</v>
      </c>
      <c r="BQ94" s="2">
        <v>0</v>
      </c>
      <c r="BR94" s="2">
        <v>2</v>
      </c>
      <c r="BS94" s="2">
        <v>8</v>
      </c>
      <c r="BT94" s="2">
        <v>15</v>
      </c>
      <c r="BU94" s="2">
        <v>6</v>
      </c>
      <c r="BV94" s="2">
        <v>8</v>
      </c>
      <c r="BW94" s="2">
        <v>16</v>
      </c>
      <c r="BX94" s="2">
        <v>7</v>
      </c>
    </row>
    <row r="95" spans="63:76" x14ac:dyDescent="0.35">
      <c r="BK95" s="19" t="s">
        <v>141</v>
      </c>
      <c r="BL95" s="2">
        <v>3</v>
      </c>
      <c r="BM95" s="2">
        <v>0</v>
      </c>
      <c r="BN95" s="2">
        <v>1</v>
      </c>
      <c r="BO95" s="2">
        <v>3</v>
      </c>
      <c r="BP95" s="2">
        <v>7</v>
      </c>
      <c r="BQ95" s="2">
        <v>5</v>
      </c>
      <c r="BR95" s="2">
        <v>0</v>
      </c>
      <c r="BS95" s="2">
        <v>0</v>
      </c>
      <c r="BT95" s="2">
        <v>9</v>
      </c>
      <c r="BU95" s="2">
        <v>0</v>
      </c>
      <c r="BV95" s="2">
        <v>0</v>
      </c>
      <c r="BW95" s="2">
        <v>11</v>
      </c>
      <c r="BX95" s="2">
        <v>9</v>
      </c>
    </row>
    <row r="96" spans="63:76" x14ac:dyDescent="0.35">
      <c r="BK96" s="19" t="s">
        <v>142</v>
      </c>
      <c r="BL96" s="2">
        <v>8</v>
      </c>
      <c r="BM96" s="2">
        <v>0</v>
      </c>
      <c r="BN96" s="2">
        <v>1</v>
      </c>
      <c r="BO96" s="2">
        <v>0</v>
      </c>
      <c r="BP96" s="2">
        <v>0</v>
      </c>
      <c r="BQ96" s="2">
        <v>0</v>
      </c>
      <c r="BR96" s="2">
        <v>0</v>
      </c>
      <c r="BS96" s="2">
        <v>0</v>
      </c>
      <c r="BT96" s="2">
        <v>0</v>
      </c>
      <c r="BU96" s="2">
        <v>1</v>
      </c>
      <c r="BV96" s="2">
        <v>0</v>
      </c>
      <c r="BW96" s="2">
        <v>0</v>
      </c>
      <c r="BX96" s="2">
        <v>5</v>
      </c>
    </row>
    <row r="97" spans="63:76" x14ac:dyDescent="0.35">
      <c r="BK97" s="19" t="s">
        <v>143</v>
      </c>
      <c r="BL97" s="2">
        <v>2</v>
      </c>
      <c r="BM97" s="2">
        <v>0</v>
      </c>
      <c r="BN97" s="2">
        <v>0</v>
      </c>
      <c r="BO97" s="2">
        <v>0</v>
      </c>
      <c r="BP97" s="2">
        <v>0</v>
      </c>
      <c r="BQ97" s="2">
        <v>4</v>
      </c>
      <c r="BR97" s="2">
        <v>3</v>
      </c>
      <c r="BS97" s="2">
        <v>0</v>
      </c>
      <c r="BT97" s="2">
        <v>1</v>
      </c>
      <c r="BU97" s="2">
        <v>7</v>
      </c>
      <c r="BV97" s="2">
        <v>3</v>
      </c>
      <c r="BW97" s="2">
        <v>0</v>
      </c>
      <c r="BX97" s="2">
        <v>0</v>
      </c>
    </row>
    <row r="98" spans="63:76" x14ac:dyDescent="0.35">
      <c r="BK98" s="19" t="s">
        <v>144</v>
      </c>
      <c r="BL98" s="2">
        <v>5</v>
      </c>
      <c r="BM98" s="2">
        <v>7</v>
      </c>
      <c r="BN98" s="2">
        <v>0</v>
      </c>
      <c r="BO98" s="2">
        <v>3</v>
      </c>
      <c r="BP98" s="2">
        <v>1</v>
      </c>
      <c r="BQ98" s="2">
        <v>31</v>
      </c>
      <c r="BR98" s="2">
        <v>4</v>
      </c>
      <c r="BS98" s="2">
        <v>16</v>
      </c>
      <c r="BT98" s="2">
        <v>66</v>
      </c>
      <c r="BU98" s="2">
        <v>55</v>
      </c>
      <c r="BV98" s="2">
        <v>37</v>
      </c>
      <c r="BW98" s="2">
        <v>86</v>
      </c>
      <c r="BX98" s="2">
        <v>31</v>
      </c>
    </row>
    <row r="99" spans="63:76" x14ac:dyDescent="0.35">
      <c r="BK99" s="19" t="s">
        <v>145</v>
      </c>
      <c r="BL99" s="2">
        <v>3</v>
      </c>
      <c r="BM99" s="2">
        <v>1</v>
      </c>
      <c r="BN99" s="2">
        <v>4</v>
      </c>
      <c r="BO99" s="2">
        <v>1</v>
      </c>
      <c r="BP99" s="2">
        <v>1</v>
      </c>
      <c r="BQ99" s="2">
        <v>12</v>
      </c>
      <c r="BR99" s="2">
        <v>12</v>
      </c>
      <c r="BS99" s="2">
        <v>0</v>
      </c>
      <c r="BT99" s="2">
        <v>11</v>
      </c>
      <c r="BU99" s="2">
        <v>13</v>
      </c>
      <c r="BV99" s="2">
        <v>2</v>
      </c>
      <c r="BW99" s="2">
        <v>6</v>
      </c>
      <c r="BX99" s="2">
        <v>4</v>
      </c>
    </row>
    <row r="100" spans="63:76" x14ac:dyDescent="0.35">
      <c r="BK100" s="19" t="s">
        <v>146</v>
      </c>
      <c r="BL100" s="2">
        <v>0</v>
      </c>
      <c r="BM100" s="2">
        <v>0</v>
      </c>
      <c r="BN100" s="2">
        <v>0</v>
      </c>
      <c r="BO100" s="2">
        <v>0</v>
      </c>
      <c r="BP100" s="2">
        <v>0</v>
      </c>
      <c r="BQ100" s="2">
        <v>0</v>
      </c>
      <c r="BR100" s="2">
        <v>2</v>
      </c>
      <c r="BS100" s="2">
        <v>0</v>
      </c>
      <c r="BT100" s="2">
        <v>0</v>
      </c>
      <c r="BU100" s="2">
        <v>0</v>
      </c>
      <c r="BV100" s="2">
        <v>0</v>
      </c>
      <c r="BW100" s="2">
        <v>0</v>
      </c>
      <c r="BX100" s="2">
        <v>0</v>
      </c>
    </row>
    <row r="101" spans="63:76" x14ac:dyDescent="0.35">
      <c r="BK101" s="19" t="s">
        <v>147</v>
      </c>
      <c r="BL101" s="2">
        <v>0</v>
      </c>
      <c r="BM101" s="2">
        <v>0</v>
      </c>
      <c r="BN101" s="2">
        <v>1</v>
      </c>
      <c r="BO101" s="2">
        <v>0</v>
      </c>
      <c r="BP101" s="2">
        <v>0</v>
      </c>
      <c r="BQ101" s="2">
        <v>0</v>
      </c>
      <c r="BR101" s="2">
        <v>1</v>
      </c>
      <c r="BS101" s="2">
        <v>9</v>
      </c>
      <c r="BT101" s="2">
        <v>1</v>
      </c>
      <c r="BU101" s="2">
        <v>0</v>
      </c>
      <c r="BV101" s="2">
        <v>2</v>
      </c>
      <c r="BW101" s="2">
        <v>0</v>
      </c>
      <c r="BX101" s="2">
        <v>1</v>
      </c>
    </row>
    <row r="102" spans="63:76" x14ac:dyDescent="0.35">
      <c r="BK102" s="19" t="s">
        <v>148</v>
      </c>
      <c r="BL102" s="2">
        <v>26</v>
      </c>
      <c r="BM102" s="2">
        <v>23</v>
      </c>
      <c r="BN102" s="2">
        <v>6</v>
      </c>
      <c r="BO102" s="2">
        <v>28</v>
      </c>
      <c r="BP102" s="2">
        <v>3</v>
      </c>
      <c r="BQ102" s="2">
        <v>25</v>
      </c>
      <c r="BR102" s="2">
        <v>48</v>
      </c>
      <c r="BS102" s="2">
        <v>6</v>
      </c>
      <c r="BT102" s="2">
        <v>83</v>
      </c>
      <c r="BU102" s="2">
        <v>161</v>
      </c>
      <c r="BV102" s="2">
        <v>124</v>
      </c>
      <c r="BW102" s="2">
        <v>155</v>
      </c>
      <c r="BX102" s="2">
        <v>72</v>
      </c>
    </row>
    <row r="103" spans="63:76" x14ac:dyDescent="0.35">
      <c r="BK103" s="19" t="s">
        <v>149</v>
      </c>
      <c r="BL103" s="2">
        <v>0</v>
      </c>
      <c r="BM103" s="2">
        <v>2</v>
      </c>
      <c r="BN103" s="2">
        <v>3</v>
      </c>
      <c r="BO103" s="2">
        <v>7</v>
      </c>
      <c r="BP103" s="2">
        <v>0</v>
      </c>
      <c r="BQ103" s="2">
        <v>4</v>
      </c>
      <c r="BR103" s="2">
        <v>14</v>
      </c>
      <c r="BS103" s="2">
        <v>15</v>
      </c>
      <c r="BT103" s="2">
        <v>2</v>
      </c>
      <c r="BU103" s="2">
        <v>13</v>
      </c>
      <c r="BV103" s="2">
        <v>1</v>
      </c>
      <c r="BW103" s="2">
        <v>0</v>
      </c>
      <c r="BX103" s="2">
        <v>2</v>
      </c>
    </row>
    <row r="104" spans="63:76" x14ac:dyDescent="0.35">
      <c r="BK104" s="19" t="s">
        <v>150</v>
      </c>
      <c r="BL104" s="2">
        <v>0</v>
      </c>
      <c r="BM104" s="2">
        <v>0</v>
      </c>
      <c r="BN104" s="2">
        <v>0</v>
      </c>
      <c r="BO104" s="2">
        <v>0</v>
      </c>
      <c r="BP104" s="2">
        <v>1</v>
      </c>
      <c r="BQ104" s="2">
        <v>0</v>
      </c>
      <c r="BR104" s="2">
        <v>0</v>
      </c>
      <c r="BS104" s="2">
        <v>0</v>
      </c>
      <c r="BT104" s="2">
        <v>1</v>
      </c>
      <c r="BU104" s="2">
        <v>0</v>
      </c>
      <c r="BV104" s="2">
        <v>0</v>
      </c>
      <c r="BW104" s="2">
        <v>0</v>
      </c>
      <c r="BX104" s="2">
        <v>0</v>
      </c>
    </row>
    <row r="105" spans="63:76" x14ac:dyDescent="0.35">
      <c r="BK105" s="19" t="s">
        <v>151</v>
      </c>
      <c r="BL105" s="2">
        <v>48</v>
      </c>
      <c r="BM105" s="2">
        <v>64</v>
      </c>
      <c r="BN105" s="2">
        <v>62</v>
      </c>
      <c r="BO105" s="2">
        <v>23</v>
      </c>
      <c r="BP105" s="2">
        <v>62</v>
      </c>
      <c r="BQ105" s="2">
        <v>67</v>
      </c>
      <c r="BR105" s="2">
        <v>70</v>
      </c>
      <c r="BS105" s="2">
        <v>50</v>
      </c>
      <c r="BT105" s="2">
        <v>91</v>
      </c>
      <c r="BU105" s="2">
        <v>104</v>
      </c>
      <c r="BV105" s="2">
        <v>95</v>
      </c>
      <c r="BW105" s="2">
        <v>113</v>
      </c>
      <c r="BX105" s="2">
        <v>65</v>
      </c>
    </row>
    <row r="106" spans="63:76" x14ac:dyDescent="0.35">
      <c r="BK106" s="19" t="s">
        <v>263</v>
      </c>
      <c r="BL106" s="2">
        <v>50</v>
      </c>
      <c r="BM106" s="2">
        <v>17</v>
      </c>
      <c r="BN106" s="2">
        <v>0</v>
      </c>
      <c r="BO106" s="2">
        <v>0</v>
      </c>
      <c r="BP106" s="2">
        <v>2</v>
      </c>
      <c r="BQ106" s="2">
        <v>94</v>
      </c>
      <c r="BR106" s="2">
        <v>105</v>
      </c>
      <c r="BS106" s="2">
        <v>65</v>
      </c>
      <c r="BT106" s="2">
        <v>123</v>
      </c>
      <c r="BU106" s="2">
        <v>62</v>
      </c>
      <c r="BV106" s="2">
        <v>0</v>
      </c>
      <c r="BW106" s="2">
        <v>5</v>
      </c>
      <c r="BX106" s="2">
        <v>8</v>
      </c>
    </row>
    <row r="107" spans="63:76" x14ac:dyDescent="0.35">
      <c r="BK107" s="19" t="s">
        <v>152</v>
      </c>
      <c r="BL107" s="2">
        <v>16</v>
      </c>
      <c r="BM107" s="2">
        <v>6</v>
      </c>
      <c r="BN107" s="2">
        <v>5</v>
      </c>
      <c r="BO107" s="2">
        <v>6</v>
      </c>
      <c r="BP107" s="2">
        <v>1</v>
      </c>
      <c r="BQ107" s="2">
        <v>26</v>
      </c>
      <c r="BR107" s="2">
        <v>43</v>
      </c>
      <c r="BS107" s="2">
        <v>11</v>
      </c>
      <c r="BT107" s="2">
        <v>35</v>
      </c>
      <c r="BU107" s="2">
        <v>29</v>
      </c>
      <c r="BV107" s="2">
        <v>10</v>
      </c>
      <c r="BW107" s="2">
        <v>27</v>
      </c>
      <c r="BX107" s="2">
        <v>25</v>
      </c>
    </row>
    <row r="108" spans="63:76" x14ac:dyDescent="0.35">
      <c r="BK108" s="19" t="s">
        <v>153</v>
      </c>
      <c r="BL108" s="2">
        <v>71</v>
      </c>
      <c r="BM108" s="2">
        <v>18</v>
      </c>
      <c r="BN108" s="2">
        <v>21</v>
      </c>
      <c r="BO108" s="2">
        <v>0</v>
      </c>
      <c r="BP108" s="2">
        <v>2</v>
      </c>
      <c r="BQ108" s="2">
        <v>115</v>
      </c>
      <c r="BR108" s="2">
        <v>102</v>
      </c>
      <c r="BS108" s="2">
        <v>91</v>
      </c>
      <c r="BT108" s="2">
        <v>115</v>
      </c>
      <c r="BU108" s="2">
        <v>180</v>
      </c>
      <c r="BV108" s="2">
        <v>143</v>
      </c>
      <c r="BW108" s="2">
        <v>81</v>
      </c>
      <c r="BX108" s="2">
        <v>125</v>
      </c>
    </row>
    <row r="109" spans="63:76" x14ac:dyDescent="0.35">
      <c r="BK109" s="19" t="s">
        <v>154</v>
      </c>
      <c r="BL109" s="2">
        <v>2</v>
      </c>
      <c r="BM109" s="2">
        <v>0</v>
      </c>
      <c r="BN109" s="2">
        <v>2</v>
      </c>
      <c r="BO109" s="2">
        <v>11</v>
      </c>
      <c r="BP109" s="2">
        <v>8</v>
      </c>
      <c r="BQ109" s="2">
        <v>11</v>
      </c>
      <c r="BR109" s="2">
        <v>3</v>
      </c>
      <c r="BS109" s="2">
        <v>2</v>
      </c>
      <c r="BT109" s="2">
        <v>1</v>
      </c>
      <c r="BU109" s="2">
        <v>9</v>
      </c>
      <c r="BV109" s="2">
        <v>0</v>
      </c>
      <c r="BW109" s="2">
        <v>5</v>
      </c>
      <c r="BX109" s="2">
        <v>1</v>
      </c>
    </row>
    <row r="110" spans="63:76" x14ac:dyDescent="0.35">
      <c r="BK110" s="19" t="s">
        <v>155</v>
      </c>
      <c r="BL110" s="2">
        <v>52</v>
      </c>
      <c r="BM110" s="2">
        <v>71</v>
      </c>
      <c r="BN110" s="2">
        <v>33</v>
      </c>
      <c r="BO110" s="2">
        <v>57</v>
      </c>
      <c r="BP110" s="2">
        <v>67</v>
      </c>
      <c r="BQ110" s="2">
        <v>123</v>
      </c>
      <c r="BR110" s="2">
        <v>65</v>
      </c>
      <c r="BS110" s="2">
        <v>72</v>
      </c>
      <c r="BT110" s="2">
        <v>91</v>
      </c>
      <c r="BU110" s="2">
        <v>94</v>
      </c>
      <c r="BV110" s="2">
        <v>38</v>
      </c>
      <c r="BW110" s="2">
        <v>65</v>
      </c>
      <c r="BX110" s="2">
        <v>27</v>
      </c>
    </row>
    <row r="111" spans="63:76" x14ac:dyDescent="0.35">
      <c r="BK111" s="19" t="s">
        <v>156</v>
      </c>
      <c r="BL111" s="2">
        <v>0</v>
      </c>
      <c r="BM111" s="2">
        <v>0</v>
      </c>
      <c r="BN111" s="2">
        <v>0</v>
      </c>
      <c r="BO111" s="2">
        <v>0</v>
      </c>
      <c r="BP111" s="2">
        <v>0</v>
      </c>
      <c r="BQ111" s="2">
        <v>0</v>
      </c>
      <c r="BR111" s="2">
        <v>0</v>
      </c>
      <c r="BS111" s="2">
        <v>0</v>
      </c>
      <c r="BT111" s="2">
        <v>0</v>
      </c>
      <c r="BU111" s="2">
        <v>0</v>
      </c>
      <c r="BV111" s="2">
        <v>2</v>
      </c>
      <c r="BW111" s="2">
        <v>0</v>
      </c>
      <c r="BX111" s="2">
        <v>0</v>
      </c>
    </row>
    <row r="112" spans="63:76" x14ac:dyDescent="0.35">
      <c r="BK112" s="19" t="s">
        <v>157</v>
      </c>
      <c r="BL112" s="2">
        <v>0</v>
      </c>
      <c r="BM112" s="2">
        <v>2</v>
      </c>
      <c r="BN112" s="2">
        <v>0</v>
      </c>
      <c r="BO112" s="2">
        <v>0</v>
      </c>
      <c r="BP112" s="2">
        <v>0</v>
      </c>
      <c r="BQ112" s="2">
        <v>3</v>
      </c>
      <c r="BR112" s="2">
        <v>7</v>
      </c>
      <c r="BS112" s="2">
        <v>0</v>
      </c>
      <c r="BT112" s="2">
        <v>3</v>
      </c>
      <c r="BU112" s="2">
        <v>3</v>
      </c>
      <c r="BV112" s="2">
        <v>0</v>
      </c>
      <c r="BW112" s="2">
        <v>0</v>
      </c>
      <c r="BX112" s="2">
        <v>0</v>
      </c>
    </row>
    <row r="113" spans="63:76" x14ac:dyDescent="0.35">
      <c r="BK113" s="19" t="s">
        <v>158</v>
      </c>
      <c r="BL113" s="2">
        <v>220</v>
      </c>
      <c r="BM113" s="2">
        <v>125</v>
      </c>
      <c r="BN113" s="2">
        <v>22</v>
      </c>
      <c r="BO113" s="2">
        <v>114</v>
      </c>
      <c r="BP113" s="2">
        <v>89</v>
      </c>
      <c r="BQ113" s="2">
        <v>325</v>
      </c>
      <c r="BR113" s="2">
        <v>287</v>
      </c>
      <c r="BS113" s="2">
        <v>170</v>
      </c>
      <c r="BT113" s="2">
        <v>337</v>
      </c>
      <c r="BU113" s="2">
        <v>291</v>
      </c>
      <c r="BV113" s="2">
        <v>237</v>
      </c>
      <c r="BW113" s="2">
        <v>289</v>
      </c>
      <c r="BX113" s="2">
        <v>214</v>
      </c>
    </row>
    <row r="114" spans="63:76" x14ac:dyDescent="0.35">
      <c r="BK114" s="19" t="s">
        <v>408</v>
      </c>
      <c r="BL114" s="2">
        <v>30</v>
      </c>
      <c r="BM114" s="2">
        <v>127</v>
      </c>
      <c r="BN114" s="2">
        <v>51</v>
      </c>
      <c r="BO114" s="2">
        <v>75</v>
      </c>
      <c r="BP114" s="2">
        <v>51</v>
      </c>
      <c r="BQ114" s="2">
        <v>119</v>
      </c>
      <c r="BR114" s="2">
        <v>79</v>
      </c>
      <c r="BS114" s="2">
        <v>46</v>
      </c>
      <c r="BT114" s="2">
        <v>136</v>
      </c>
      <c r="BU114" s="2">
        <v>169</v>
      </c>
      <c r="BV114" s="2">
        <v>158</v>
      </c>
      <c r="BW114" s="2">
        <v>132</v>
      </c>
      <c r="BX114" s="2">
        <v>118</v>
      </c>
    </row>
    <row r="115" spans="63:76" x14ac:dyDescent="0.35">
      <c r="BK115" s="19" t="s">
        <v>159</v>
      </c>
      <c r="BL115" s="2">
        <v>26</v>
      </c>
      <c r="BM115" s="2">
        <v>0</v>
      </c>
      <c r="BN115" s="2">
        <v>5</v>
      </c>
      <c r="BO115" s="2">
        <v>52</v>
      </c>
      <c r="BP115" s="2">
        <v>58</v>
      </c>
      <c r="BQ115" s="2">
        <v>20</v>
      </c>
      <c r="BR115" s="2">
        <v>57</v>
      </c>
      <c r="BS115" s="2">
        <v>12</v>
      </c>
      <c r="BT115" s="2">
        <v>70</v>
      </c>
      <c r="BU115" s="2">
        <v>96</v>
      </c>
      <c r="BV115" s="2">
        <v>77</v>
      </c>
      <c r="BW115" s="2">
        <v>91</v>
      </c>
      <c r="BX115" s="2">
        <v>46</v>
      </c>
    </row>
    <row r="116" spans="63:76" x14ac:dyDescent="0.35">
      <c r="BK116" s="19" t="s">
        <v>437</v>
      </c>
      <c r="BL116" s="2">
        <v>19</v>
      </c>
      <c r="BM116" s="2">
        <v>12</v>
      </c>
      <c r="BN116" s="2">
        <v>1</v>
      </c>
      <c r="BO116" s="2">
        <v>17</v>
      </c>
      <c r="BP116" s="2">
        <v>6</v>
      </c>
      <c r="BQ116" s="2">
        <v>18</v>
      </c>
      <c r="BR116" s="2">
        <v>28</v>
      </c>
      <c r="BS116" s="2">
        <v>10</v>
      </c>
      <c r="BT116" s="2">
        <v>47</v>
      </c>
      <c r="BU116" s="2">
        <v>46</v>
      </c>
      <c r="BV116" s="2">
        <v>67</v>
      </c>
      <c r="BW116" s="2">
        <v>46</v>
      </c>
      <c r="BX116" s="2">
        <v>24</v>
      </c>
    </row>
    <row r="117" spans="63:76" x14ac:dyDescent="0.35">
      <c r="BK117" s="19" t="s">
        <v>225</v>
      </c>
      <c r="BL117" s="2">
        <v>48</v>
      </c>
      <c r="BM117" s="2">
        <v>2</v>
      </c>
      <c r="BN117" s="2">
        <v>10</v>
      </c>
      <c r="BO117" s="2">
        <v>2</v>
      </c>
      <c r="BP117" s="2">
        <v>1</v>
      </c>
      <c r="BQ117" s="2">
        <v>57</v>
      </c>
      <c r="BR117" s="2">
        <v>74</v>
      </c>
      <c r="BS117" s="2">
        <v>12</v>
      </c>
      <c r="BT117" s="2">
        <v>26</v>
      </c>
      <c r="BU117" s="2">
        <v>55</v>
      </c>
      <c r="BV117" s="2">
        <v>7</v>
      </c>
      <c r="BW117" s="2">
        <v>51</v>
      </c>
      <c r="BX117" s="2">
        <v>26</v>
      </c>
    </row>
    <row r="118" spans="63:76" x14ac:dyDescent="0.35">
      <c r="BK118" s="19" t="s">
        <v>160</v>
      </c>
      <c r="BL118" s="2">
        <v>42</v>
      </c>
      <c r="BM118" s="2">
        <v>19</v>
      </c>
      <c r="BN118" s="2">
        <v>34</v>
      </c>
      <c r="BO118" s="2">
        <v>19</v>
      </c>
      <c r="BP118" s="2">
        <v>121</v>
      </c>
      <c r="BQ118" s="2">
        <v>155</v>
      </c>
      <c r="BR118" s="2">
        <v>139</v>
      </c>
      <c r="BS118" s="2">
        <v>35</v>
      </c>
      <c r="BT118" s="2">
        <v>147</v>
      </c>
      <c r="BU118" s="2">
        <v>142</v>
      </c>
      <c r="BV118" s="2">
        <v>156</v>
      </c>
      <c r="BW118" s="2">
        <v>113</v>
      </c>
      <c r="BX118" s="2">
        <v>80</v>
      </c>
    </row>
    <row r="119" spans="63:76" x14ac:dyDescent="0.35">
      <c r="BK119" s="19" t="s">
        <v>161</v>
      </c>
      <c r="BL119" s="2">
        <v>6</v>
      </c>
      <c r="BM119" s="2">
        <v>6</v>
      </c>
      <c r="BN119" s="2">
        <v>8</v>
      </c>
      <c r="BO119" s="2">
        <v>1</v>
      </c>
      <c r="BP119" s="2">
        <v>2</v>
      </c>
      <c r="BQ119" s="2">
        <v>17</v>
      </c>
      <c r="BR119" s="2">
        <v>11</v>
      </c>
      <c r="BS119" s="2">
        <v>4</v>
      </c>
      <c r="BT119" s="2">
        <v>7</v>
      </c>
      <c r="BU119" s="2">
        <v>22</v>
      </c>
      <c r="BV119" s="2">
        <v>10</v>
      </c>
      <c r="BW119" s="2">
        <v>18</v>
      </c>
      <c r="BX119" s="2">
        <v>26</v>
      </c>
    </row>
    <row r="120" spans="63:76" x14ac:dyDescent="0.35">
      <c r="BK120" s="19" t="s">
        <v>162</v>
      </c>
      <c r="BL120" s="2">
        <v>22</v>
      </c>
      <c r="BM120" s="2">
        <v>13</v>
      </c>
      <c r="BN120" s="2">
        <v>0</v>
      </c>
      <c r="BO120" s="2">
        <v>9</v>
      </c>
      <c r="BP120" s="2">
        <v>1</v>
      </c>
      <c r="BQ120" s="2">
        <v>74</v>
      </c>
      <c r="BR120" s="2">
        <v>59</v>
      </c>
      <c r="BS120" s="2">
        <v>44</v>
      </c>
      <c r="BT120" s="2">
        <v>67</v>
      </c>
      <c r="BU120" s="2">
        <v>50</v>
      </c>
      <c r="BV120" s="2">
        <v>16</v>
      </c>
      <c r="BW120" s="2">
        <v>12</v>
      </c>
      <c r="BX120" s="2">
        <v>6</v>
      </c>
    </row>
    <row r="121" spans="63:76" x14ac:dyDescent="0.35">
      <c r="BK121" s="19" t="s">
        <v>222</v>
      </c>
      <c r="BL121" s="2">
        <v>50</v>
      </c>
      <c r="BM121" s="2">
        <v>63</v>
      </c>
      <c r="BN121" s="2">
        <v>42</v>
      </c>
      <c r="BO121" s="2">
        <v>194</v>
      </c>
      <c r="BP121" s="2">
        <v>99</v>
      </c>
      <c r="BQ121" s="2">
        <v>108</v>
      </c>
      <c r="BR121" s="2">
        <v>101</v>
      </c>
      <c r="BS121" s="2">
        <v>24</v>
      </c>
      <c r="BT121" s="2">
        <v>117</v>
      </c>
      <c r="BU121" s="2">
        <v>73</v>
      </c>
      <c r="BV121" s="2">
        <v>50</v>
      </c>
      <c r="BW121" s="2">
        <v>44</v>
      </c>
      <c r="BX121" s="2">
        <v>15</v>
      </c>
    </row>
    <row r="122" spans="63:76" x14ac:dyDescent="0.35">
      <c r="BK122" s="19" t="s">
        <v>163</v>
      </c>
      <c r="BL122" s="2">
        <v>0</v>
      </c>
      <c r="BM122" s="2">
        <v>0</v>
      </c>
      <c r="BN122" s="2">
        <v>0</v>
      </c>
      <c r="BO122" s="2">
        <v>5</v>
      </c>
      <c r="BP122" s="2">
        <v>0</v>
      </c>
      <c r="BQ122" s="2">
        <v>2</v>
      </c>
      <c r="BR122" s="2">
        <v>6</v>
      </c>
      <c r="BS122" s="2">
        <v>1</v>
      </c>
      <c r="BT122" s="2">
        <v>9</v>
      </c>
      <c r="BU122" s="2">
        <v>1</v>
      </c>
      <c r="BV122" s="2">
        <v>11</v>
      </c>
      <c r="BW122" s="2">
        <v>8</v>
      </c>
      <c r="BX122" s="2">
        <v>3</v>
      </c>
    </row>
    <row r="123" spans="63:76" x14ac:dyDescent="0.35">
      <c r="BK123" s="19" t="s">
        <v>434</v>
      </c>
      <c r="BL123" s="2">
        <v>19</v>
      </c>
      <c r="BM123" s="2">
        <v>13</v>
      </c>
      <c r="BN123" s="2">
        <v>7</v>
      </c>
      <c r="BO123" s="2">
        <v>20</v>
      </c>
      <c r="BP123" s="2">
        <v>12</v>
      </c>
      <c r="BQ123" s="2">
        <v>14</v>
      </c>
      <c r="BR123" s="2">
        <v>24</v>
      </c>
      <c r="BS123" s="2">
        <v>6</v>
      </c>
      <c r="BT123" s="2">
        <v>21</v>
      </c>
      <c r="BU123" s="2">
        <v>27</v>
      </c>
      <c r="BV123" s="2">
        <v>5</v>
      </c>
      <c r="BW123" s="2">
        <v>21</v>
      </c>
      <c r="BX123" s="2">
        <v>10</v>
      </c>
    </row>
    <row r="124" spans="63:76" x14ac:dyDescent="0.35">
      <c r="BK124" s="19" t="s">
        <v>164</v>
      </c>
      <c r="BL124" s="2">
        <v>91</v>
      </c>
      <c r="BM124" s="2">
        <v>44</v>
      </c>
      <c r="BN124" s="2">
        <v>2</v>
      </c>
      <c r="BO124" s="2">
        <v>21</v>
      </c>
      <c r="BP124" s="2">
        <v>26</v>
      </c>
      <c r="BQ124" s="2">
        <v>85</v>
      </c>
      <c r="BR124" s="2">
        <v>153</v>
      </c>
      <c r="BS124" s="2">
        <v>110</v>
      </c>
      <c r="BT124" s="2">
        <v>109</v>
      </c>
      <c r="BU124" s="2">
        <v>99</v>
      </c>
      <c r="BV124" s="2">
        <v>29</v>
      </c>
      <c r="BW124" s="2">
        <v>46</v>
      </c>
      <c r="BX124" s="2">
        <v>54</v>
      </c>
    </row>
    <row r="125" spans="63:76" x14ac:dyDescent="0.35">
      <c r="BK125" s="19" t="s">
        <v>165</v>
      </c>
      <c r="BL125" s="2">
        <v>15</v>
      </c>
      <c r="BM125" s="2">
        <v>1</v>
      </c>
      <c r="BN125" s="2">
        <v>5</v>
      </c>
      <c r="BO125" s="2">
        <v>2</v>
      </c>
      <c r="BP125" s="2">
        <v>0</v>
      </c>
      <c r="BQ125" s="2">
        <v>33</v>
      </c>
      <c r="BR125" s="2">
        <v>17</v>
      </c>
      <c r="BS125" s="2">
        <v>0</v>
      </c>
      <c r="BT125" s="2">
        <v>18</v>
      </c>
      <c r="BU125" s="2">
        <v>8</v>
      </c>
      <c r="BV125" s="2">
        <v>13</v>
      </c>
      <c r="BW125" s="2">
        <v>13</v>
      </c>
      <c r="BX125" s="2">
        <v>5</v>
      </c>
    </row>
    <row r="126" spans="63:76" x14ac:dyDescent="0.35">
      <c r="BK126" s="19" t="s">
        <v>166</v>
      </c>
      <c r="BL126" s="2">
        <v>1</v>
      </c>
      <c r="BM126" s="2">
        <v>1</v>
      </c>
      <c r="BN126" s="2">
        <v>0</v>
      </c>
      <c r="BO126" s="2">
        <v>1</v>
      </c>
      <c r="BP126" s="2">
        <v>1</v>
      </c>
      <c r="BQ126" s="2">
        <v>2</v>
      </c>
      <c r="BR126" s="2">
        <v>2</v>
      </c>
      <c r="BS126" s="2">
        <v>0</v>
      </c>
      <c r="BT126" s="2">
        <v>2</v>
      </c>
      <c r="BU126" s="2">
        <v>14</v>
      </c>
      <c r="BV126" s="2">
        <v>3</v>
      </c>
      <c r="BW126" s="2">
        <v>1</v>
      </c>
      <c r="BX126" s="2">
        <v>3</v>
      </c>
    </row>
    <row r="127" spans="63:76" x14ac:dyDescent="0.35">
      <c r="BK127" s="19" t="s">
        <v>167</v>
      </c>
      <c r="BL127" s="2">
        <v>0</v>
      </c>
      <c r="BM127" s="2">
        <v>0</v>
      </c>
      <c r="BN127" s="2">
        <v>0</v>
      </c>
      <c r="BO127" s="2">
        <v>0</v>
      </c>
      <c r="BP127" s="2">
        <v>1</v>
      </c>
      <c r="BQ127" s="2">
        <v>0</v>
      </c>
      <c r="BR127" s="2">
        <v>0</v>
      </c>
      <c r="BS127" s="2">
        <v>0</v>
      </c>
      <c r="BT127" s="2">
        <v>0</v>
      </c>
      <c r="BU127" s="2">
        <v>0</v>
      </c>
      <c r="BV127" s="2">
        <v>0</v>
      </c>
      <c r="BW127" s="2">
        <v>0</v>
      </c>
      <c r="BX127" s="2">
        <v>0</v>
      </c>
    </row>
    <row r="128" spans="63:76" x14ac:dyDescent="0.35">
      <c r="BK128" s="19" t="s">
        <v>168</v>
      </c>
      <c r="BL128" s="2">
        <v>44</v>
      </c>
      <c r="BM128" s="2">
        <v>0</v>
      </c>
      <c r="BN128" s="2">
        <v>0</v>
      </c>
      <c r="BO128" s="2">
        <v>4</v>
      </c>
      <c r="BP128" s="2">
        <v>2</v>
      </c>
      <c r="BQ128" s="2">
        <v>12</v>
      </c>
      <c r="BR128" s="2">
        <v>25</v>
      </c>
      <c r="BS128" s="2">
        <v>15</v>
      </c>
      <c r="BT128" s="2">
        <v>51</v>
      </c>
      <c r="BU128" s="2">
        <v>50</v>
      </c>
      <c r="BV128" s="2">
        <v>47</v>
      </c>
      <c r="BW128" s="2">
        <v>17</v>
      </c>
      <c r="BX128" s="2">
        <v>32</v>
      </c>
    </row>
    <row r="129" spans="63:77" x14ac:dyDescent="0.35">
      <c r="BK129" s="19" t="s">
        <v>169</v>
      </c>
      <c r="BL129" s="2">
        <v>27</v>
      </c>
      <c r="BM129" s="2">
        <v>23</v>
      </c>
      <c r="BN129" s="2">
        <v>7</v>
      </c>
      <c r="BO129" s="2">
        <v>85</v>
      </c>
      <c r="BP129" s="2">
        <v>51</v>
      </c>
      <c r="BQ129" s="2">
        <v>140</v>
      </c>
      <c r="BR129" s="2">
        <v>97</v>
      </c>
      <c r="BS129" s="2">
        <v>30</v>
      </c>
      <c r="BT129" s="2">
        <v>132</v>
      </c>
      <c r="BU129" s="2">
        <v>120</v>
      </c>
      <c r="BV129" s="2">
        <v>19</v>
      </c>
      <c r="BW129" s="2">
        <v>5</v>
      </c>
      <c r="BX129" s="2">
        <v>9</v>
      </c>
    </row>
    <row r="130" spans="63:77" x14ac:dyDescent="0.35">
      <c r="BK130" s="19" t="s">
        <v>170</v>
      </c>
      <c r="BL130" s="2">
        <v>26</v>
      </c>
      <c r="BM130" s="2">
        <v>0</v>
      </c>
      <c r="BN130" s="2">
        <v>3</v>
      </c>
      <c r="BO130" s="2">
        <v>0</v>
      </c>
      <c r="BP130" s="2">
        <v>1</v>
      </c>
      <c r="BQ130" s="2">
        <v>9</v>
      </c>
      <c r="BR130" s="2">
        <v>19</v>
      </c>
      <c r="BS130" s="2">
        <v>7</v>
      </c>
      <c r="BT130" s="2">
        <v>28</v>
      </c>
      <c r="BU130" s="2">
        <v>8</v>
      </c>
      <c r="BV130" s="2">
        <v>3</v>
      </c>
      <c r="BW130" s="2">
        <v>2</v>
      </c>
      <c r="BX130" s="2">
        <v>12</v>
      </c>
    </row>
    <row r="131" spans="63:77" x14ac:dyDescent="0.35">
      <c r="BK131" s="19" t="s">
        <v>171</v>
      </c>
      <c r="BL131" s="2">
        <v>5</v>
      </c>
      <c r="BM131" s="2">
        <v>0</v>
      </c>
      <c r="BN131" s="2">
        <v>1</v>
      </c>
      <c r="BO131" s="2">
        <v>0</v>
      </c>
      <c r="BP131" s="2">
        <v>0</v>
      </c>
      <c r="BQ131" s="2">
        <v>9</v>
      </c>
      <c r="BR131" s="2">
        <v>9</v>
      </c>
      <c r="BS131" s="2">
        <v>4</v>
      </c>
      <c r="BT131" s="2">
        <v>11</v>
      </c>
      <c r="BU131" s="2">
        <v>4</v>
      </c>
      <c r="BV131" s="2">
        <v>11</v>
      </c>
      <c r="BW131" s="2">
        <v>2</v>
      </c>
      <c r="BX131" s="2">
        <v>5</v>
      </c>
    </row>
    <row r="132" spans="63:77" x14ac:dyDescent="0.35">
      <c r="BK132" s="19" t="s">
        <v>172</v>
      </c>
      <c r="BL132" s="2">
        <v>0</v>
      </c>
      <c r="BM132" s="2">
        <v>0</v>
      </c>
      <c r="BN132" s="2">
        <v>0</v>
      </c>
      <c r="BO132" s="2">
        <v>0</v>
      </c>
      <c r="BP132" s="2">
        <v>0</v>
      </c>
      <c r="BQ132" s="2">
        <v>0</v>
      </c>
      <c r="BR132" s="2">
        <v>0</v>
      </c>
      <c r="BS132" s="2">
        <v>0</v>
      </c>
      <c r="BT132" s="2">
        <v>0</v>
      </c>
      <c r="BU132" s="2">
        <v>0</v>
      </c>
      <c r="BV132" s="2">
        <v>0</v>
      </c>
      <c r="BW132" s="2">
        <v>0</v>
      </c>
      <c r="BX132" s="2">
        <v>0</v>
      </c>
    </row>
    <row r="133" spans="63:77" x14ac:dyDescent="0.35">
      <c r="BK133" s="19" t="s">
        <v>173</v>
      </c>
      <c r="BL133" s="2">
        <v>6</v>
      </c>
      <c r="BM133" s="2">
        <v>0</v>
      </c>
      <c r="BN133" s="2">
        <v>8</v>
      </c>
      <c r="BO133" s="2">
        <v>9</v>
      </c>
      <c r="BP133" s="2">
        <v>2</v>
      </c>
      <c r="BQ133" s="2">
        <v>3</v>
      </c>
      <c r="BR133" s="2">
        <v>12</v>
      </c>
      <c r="BS133" s="2">
        <v>3</v>
      </c>
      <c r="BT133" s="2">
        <v>39</v>
      </c>
      <c r="BU133" s="2">
        <v>39</v>
      </c>
      <c r="BV133" s="2">
        <v>20</v>
      </c>
      <c r="BW133" s="2">
        <v>23</v>
      </c>
      <c r="BX133" s="2">
        <v>4</v>
      </c>
    </row>
    <row r="142" spans="63:77" x14ac:dyDescent="0.35">
      <c r="BL142" s="27" t="s">
        <v>43</v>
      </c>
      <c r="BM142" s="27" t="s">
        <v>44</v>
      </c>
      <c r="BN142" s="27" t="s">
        <v>45</v>
      </c>
      <c r="BO142" s="27" t="s">
        <v>46</v>
      </c>
      <c r="BP142" s="27" t="s">
        <v>47</v>
      </c>
      <c r="BQ142" s="27" t="s">
        <v>48</v>
      </c>
      <c r="BR142" s="27" t="s">
        <v>49</v>
      </c>
      <c r="BS142" s="27" t="s">
        <v>50</v>
      </c>
      <c r="BT142" s="27" t="s">
        <v>51</v>
      </c>
      <c r="BU142" s="27" t="s">
        <v>52</v>
      </c>
      <c r="BV142" s="27" t="s">
        <v>53</v>
      </c>
      <c r="BW142" s="27" t="s">
        <v>54</v>
      </c>
      <c r="BX142" s="27" t="s">
        <v>55</v>
      </c>
      <c r="BY142" s="27" t="s">
        <v>56</v>
      </c>
    </row>
    <row r="143" spans="63:77" x14ac:dyDescent="0.35">
      <c r="BL143">
        <f>IF(COUNTIF(BL7:BL140,"&gt;0")=0,"",COUNTIF(BL7:BL140,"&gt;0"))</f>
        <v>94</v>
      </c>
      <c r="BM143">
        <f t="shared" ref="BM143:BQ143" si="24">IF(COUNTIF(BM7:BM140,"&gt;0")=0,"",COUNTIF(BM7:BM140,"&gt;0"))</f>
        <v>85</v>
      </c>
      <c r="BN143">
        <f t="shared" si="24"/>
        <v>77</v>
      </c>
      <c r="BO143">
        <f t="shared" si="24"/>
        <v>83</v>
      </c>
      <c r="BP143">
        <f t="shared" si="24"/>
        <v>79</v>
      </c>
      <c r="BQ143">
        <f t="shared" si="24"/>
        <v>101</v>
      </c>
      <c r="BR143">
        <f t="shared" ref="BR143:BY143" si="25">IF(COUNTIF(BR7:BR140,"&gt;0")=0,"",COUNTIF(BR7:BR140,"&gt;0"))</f>
        <v>102</v>
      </c>
      <c r="BS143">
        <f t="shared" si="25"/>
        <v>89</v>
      </c>
      <c r="BT143">
        <f>IF(COUNTIF(BT7:BT140,"&gt;0")=0,"",COUNTIF(BT7:BT140,"&gt;0"))</f>
        <v>104</v>
      </c>
      <c r="BU143">
        <f t="shared" si="25"/>
        <v>105</v>
      </c>
      <c r="BV143">
        <f t="shared" si="25"/>
        <v>95</v>
      </c>
      <c r="BW143">
        <f t="shared" si="25"/>
        <v>97</v>
      </c>
      <c r="BX143">
        <f t="shared" si="25"/>
        <v>90</v>
      </c>
      <c r="BY143" t="str">
        <f t="shared" si="25"/>
        <v/>
      </c>
    </row>
  </sheetData>
  <pageMargins left="0.7" right="0.7" top="0.75" bottom="0.75" header="0.3" footer="0.3"/>
  <pageSetup orientation="portrait" horizontalDpi="1200"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defaultRowHeight="14.5" x14ac:dyDescent="0.3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election activeCell="B1" sqref="B1"/>
    </sheetView>
  </sheetViews>
  <sheetFormatPr defaultRowHeight="14.5" x14ac:dyDescent="0.3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heetViews>
  <sheetFormatPr defaultRowHeight="14.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96"/>
  <sheetViews>
    <sheetView workbookViewId="0">
      <selection activeCell="E7" sqref="E7"/>
    </sheetView>
  </sheetViews>
  <sheetFormatPr defaultRowHeight="14.5" x14ac:dyDescent="0.35"/>
  <cols>
    <col min="2" max="2" width="12.36328125" bestFit="1" customWidth="1"/>
    <col min="3" max="3" width="15.54296875" bestFit="1" customWidth="1"/>
    <col min="4" max="4" width="16.6328125" customWidth="1"/>
    <col min="5" max="5" width="15.54296875" bestFit="1" customWidth="1"/>
    <col min="6" max="6" width="15.26953125" bestFit="1" customWidth="1"/>
    <col min="7" max="7" width="7.08984375" bestFit="1" customWidth="1"/>
    <col min="8" max="8" width="8.54296875" bestFit="1" customWidth="1"/>
    <col min="9" max="9" width="22" bestFit="1" customWidth="1"/>
    <col min="10" max="10" width="10.54296875" bestFit="1" customWidth="1"/>
    <col min="11" max="11" width="9.7265625" bestFit="1" customWidth="1"/>
    <col min="12" max="12" width="10.54296875" bestFit="1" customWidth="1"/>
    <col min="13" max="13" width="10.7265625" bestFit="1" customWidth="1"/>
    <col min="14" max="22" width="11.26953125" customWidth="1"/>
    <col min="26" max="26" width="4.36328125" customWidth="1"/>
    <col min="27" max="27" width="12.36328125" bestFit="1" customWidth="1"/>
    <col min="28" max="28" width="15.54296875" bestFit="1" customWidth="1"/>
    <col min="29" max="29" width="3.6328125" customWidth="1"/>
    <col min="30" max="30" width="9.08984375" style="10"/>
    <col min="32" max="32" width="12.36328125" bestFit="1" customWidth="1"/>
    <col min="33" max="33" width="15.54296875" bestFit="1" customWidth="1"/>
    <col min="34" max="34" width="3.26953125" customWidth="1"/>
    <col min="35" max="35" width="9.08984375" style="10"/>
  </cols>
  <sheetData>
    <row r="1" spans="1:35" s="17" customFormat="1" ht="14.5" customHeight="1" x14ac:dyDescent="0.35">
      <c r="A1" s="37"/>
      <c r="B1" s="181" t="s">
        <v>264</v>
      </c>
      <c r="C1" s="181"/>
      <c r="D1" s="37"/>
      <c r="E1" s="182" t="s">
        <v>265</v>
      </c>
      <c r="F1" s="182"/>
      <c r="G1" s="182"/>
      <c r="H1" s="182"/>
      <c r="I1" s="182"/>
      <c r="J1" s="182"/>
      <c r="K1" s="182"/>
      <c r="L1" s="182"/>
      <c r="M1" s="182"/>
      <c r="N1" s="182"/>
      <c r="O1" s="182"/>
      <c r="P1" s="182"/>
      <c r="Q1" s="182"/>
      <c r="R1" s="182"/>
      <c r="S1" s="182"/>
      <c r="T1" s="182"/>
      <c r="U1" s="182"/>
      <c r="V1" s="182"/>
      <c r="W1" s="182"/>
      <c r="X1" s="109"/>
      <c r="Y1" s="37"/>
      <c r="AA1" s="181" t="s">
        <v>266</v>
      </c>
      <c r="AB1" s="181"/>
      <c r="AC1" s="181"/>
      <c r="AD1" s="181"/>
      <c r="AF1" s="181" t="s">
        <v>267</v>
      </c>
      <c r="AG1" s="181"/>
      <c r="AH1" s="181"/>
      <c r="AI1" s="181"/>
    </row>
    <row r="2" spans="1:35" x14ac:dyDescent="0.35">
      <c r="J2" s="42"/>
      <c r="K2" s="42"/>
      <c r="L2" s="42"/>
      <c r="M2" s="42"/>
      <c r="N2" s="42"/>
      <c r="O2" s="42"/>
      <c r="P2" s="42"/>
      <c r="Q2" s="42"/>
      <c r="R2" s="42"/>
      <c r="S2" s="42"/>
      <c r="T2" s="42"/>
      <c r="U2" s="42"/>
      <c r="V2" s="42"/>
      <c r="W2" s="42"/>
      <c r="X2" s="42"/>
      <c r="Y2" s="42"/>
    </row>
    <row r="3" spans="1:35" x14ac:dyDescent="0.35">
      <c r="B3" s="18" t="s">
        <v>40</v>
      </c>
      <c r="C3" t="s" vm="1">
        <v>435</v>
      </c>
      <c r="E3" s="18" t="s">
        <v>40</v>
      </c>
      <c r="F3" t="s" vm="1">
        <v>435</v>
      </c>
      <c r="P3" t="s">
        <v>230</v>
      </c>
      <c r="Q3" t="s">
        <v>41</v>
      </c>
      <c r="R3" t="s">
        <v>1</v>
      </c>
      <c r="S3" t="s">
        <v>226</v>
      </c>
      <c r="T3" t="s">
        <v>254</v>
      </c>
      <c r="U3" t="s">
        <v>223</v>
      </c>
      <c r="V3" t="s">
        <v>224</v>
      </c>
      <c r="W3" t="s">
        <v>257</v>
      </c>
      <c r="X3" t="s">
        <v>256</v>
      </c>
      <c r="AA3" s="18" t="s">
        <v>40</v>
      </c>
      <c r="AB3" t="s" vm="1">
        <v>435</v>
      </c>
      <c r="AF3" s="18" t="s">
        <v>40</v>
      </c>
      <c r="AG3" t="s" vm="1">
        <v>435</v>
      </c>
    </row>
    <row r="4" spans="1:35" x14ac:dyDescent="0.35">
      <c r="P4" s="21" t="s">
        <v>43</v>
      </c>
      <c r="Q4">
        <f>VLOOKUP(P4, $E$7:$M$1048576, 9,FALSE)</f>
        <v>18</v>
      </c>
      <c r="R4">
        <f>VLOOKUP(P4, $E$7:$M$1048576, 3,FALSE)</f>
        <v>0</v>
      </c>
      <c r="S4">
        <f>VLOOKUP(P4, $E$7:$M$1048576, 4,FALSE)</f>
        <v>8</v>
      </c>
      <c r="T4" s="42">
        <f>VLOOKUP(P4, $E$7:$M$1048576, 5,FALSE)</f>
        <v>2</v>
      </c>
      <c r="U4">
        <f>VLOOKUP(P4, $E$7:$M$1048576, 7,FALSE)</f>
        <v>3</v>
      </c>
      <c r="V4">
        <f>VLOOKUP(P4, $E$7:$M$1048576, 8,FALSE)</f>
        <v>4</v>
      </c>
      <c r="W4">
        <f>VLOOKUP(P4, $E$7:$M$1048576, 2,FALSE)</f>
        <v>0</v>
      </c>
      <c r="X4">
        <f>VLOOKUP(P4, $E$7:$M$1048576, 6,FALSE)</f>
        <v>1</v>
      </c>
    </row>
    <row r="5" spans="1:35" x14ac:dyDescent="0.35">
      <c r="B5" s="18" t="s">
        <v>38</v>
      </c>
      <c r="C5" t="s">
        <v>37</v>
      </c>
      <c r="E5" s="18" t="s">
        <v>37</v>
      </c>
      <c r="F5" s="18" t="s">
        <v>42</v>
      </c>
      <c r="P5" s="20" t="s">
        <v>44</v>
      </c>
      <c r="Q5">
        <f t="shared" ref="Q5:Q15" si="0">VLOOKUP(P5, $E$7:$M$1048576, 9,FALSE)</f>
        <v>44</v>
      </c>
      <c r="R5">
        <f t="shared" ref="R5:R16" si="1">VLOOKUP(P5, $E$7:$M$1048576, 3,FALSE)</f>
        <v>0</v>
      </c>
      <c r="S5">
        <f t="shared" ref="S5:S16" si="2">VLOOKUP(P5, $E$7:$M$1048576, 4,FALSE)</f>
        <v>41</v>
      </c>
      <c r="T5" s="42">
        <f t="shared" ref="T5:T14" si="3">VLOOKUP(P5, $E$7:$M$1048576, 5,FALSE)</f>
        <v>2</v>
      </c>
      <c r="U5">
        <f t="shared" ref="U5:U16" si="4">VLOOKUP(P5, $E$7:$M$1048576, 7,FALSE)</f>
        <v>1</v>
      </c>
      <c r="V5">
        <f t="shared" ref="V5:V16" si="5">VLOOKUP(P5, $E$7:$M$1048576, 8,FALSE)</f>
        <v>0</v>
      </c>
      <c r="W5">
        <f t="shared" ref="W5:W16" si="6">VLOOKUP(P5, $E$7:$M$1048576, 2,FALSE)</f>
        <v>0</v>
      </c>
      <c r="X5">
        <f t="shared" ref="X5:X16" si="7">VLOOKUP(P5, $E$7:$M$1048576, 6,FALSE)</f>
        <v>0</v>
      </c>
      <c r="AA5" s="18" t="s">
        <v>38</v>
      </c>
      <c r="AB5" t="s">
        <v>37</v>
      </c>
      <c r="AD5" s="10">
        <f>MAX(AB6:AB1048576)</f>
        <v>20</v>
      </c>
      <c r="AF5" s="18" t="s">
        <v>38</v>
      </c>
      <c r="AG5" t="s">
        <v>37</v>
      </c>
      <c r="AI5" s="10">
        <f>COUNTIF(AG6:AG1048576,"0")</f>
        <v>8</v>
      </c>
    </row>
    <row r="6" spans="1:35" x14ac:dyDescent="0.35">
      <c r="B6" s="19">
        <v>1</v>
      </c>
      <c r="C6" s="2">
        <v>18</v>
      </c>
      <c r="D6" s="2"/>
      <c r="E6" s="18" t="s">
        <v>38</v>
      </c>
      <c r="F6" t="s">
        <v>291</v>
      </c>
      <c r="G6" t="s">
        <v>1</v>
      </c>
      <c r="H6" t="s">
        <v>226</v>
      </c>
      <c r="I6" t="s">
        <v>258</v>
      </c>
      <c r="J6" t="s">
        <v>255</v>
      </c>
      <c r="K6" t="s">
        <v>223</v>
      </c>
      <c r="L6" t="s">
        <v>224</v>
      </c>
      <c r="M6" t="s">
        <v>39</v>
      </c>
      <c r="P6" s="20" t="s">
        <v>45</v>
      </c>
      <c r="Q6">
        <f t="shared" si="0"/>
        <v>26</v>
      </c>
      <c r="R6">
        <f t="shared" si="1"/>
        <v>1</v>
      </c>
      <c r="S6">
        <f t="shared" si="2"/>
        <v>16</v>
      </c>
      <c r="T6" s="42">
        <f t="shared" si="3"/>
        <v>3</v>
      </c>
      <c r="U6">
        <f t="shared" si="4"/>
        <v>4</v>
      </c>
      <c r="V6">
        <f t="shared" si="5"/>
        <v>0</v>
      </c>
      <c r="W6">
        <f t="shared" si="6"/>
        <v>0</v>
      </c>
      <c r="X6">
        <f t="shared" si="7"/>
        <v>2</v>
      </c>
      <c r="AA6" s="125">
        <v>44165</v>
      </c>
      <c r="AB6" s="2">
        <v>3</v>
      </c>
      <c r="AD6" s="10">
        <f>MATCH(AD5,AB6:AB1048576,0)</f>
        <v>12</v>
      </c>
      <c r="AF6" s="125">
        <v>44165</v>
      </c>
      <c r="AG6" s="2">
        <v>3</v>
      </c>
      <c r="AI6" s="10">
        <f>COUNTA(AG6:AG1048576)</f>
        <v>91</v>
      </c>
    </row>
    <row r="7" spans="1:35" x14ac:dyDescent="0.35">
      <c r="B7" s="19">
        <v>2</v>
      </c>
      <c r="C7" s="2">
        <v>44</v>
      </c>
      <c r="D7" s="2"/>
      <c r="E7" s="19" t="s">
        <v>43</v>
      </c>
      <c r="F7" s="2">
        <v>0</v>
      </c>
      <c r="G7" s="2">
        <v>0</v>
      </c>
      <c r="H7" s="2">
        <v>8</v>
      </c>
      <c r="I7" s="2">
        <v>2</v>
      </c>
      <c r="J7" s="2">
        <v>1</v>
      </c>
      <c r="K7" s="2">
        <v>3</v>
      </c>
      <c r="L7" s="2">
        <v>4</v>
      </c>
      <c r="M7" s="2">
        <v>18</v>
      </c>
      <c r="N7" s="2"/>
      <c r="O7" s="2"/>
      <c r="P7" s="20" t="s">
        <v>46</v>
      </c>
      <c r="Q7">
        <f t="shared" si="0"/>
        <v>22</v>
      </c>
      <c r="R7">
        <f t="shared" si="1"/>
        <v>0</v>
      </c>
      <c r="S7">
        <f t="shared" si="2"/>
        <v>14</v>
      </c>
      <c r="T7" s="42">
        <f t="shared" si="3"/>
        <v>2</v>
      </c>
      <c r="U7">
        <f t="shared" si="4"/>
        <v>6</v>
      </c>
      <c r="V7">
        <f t="shared" si="5"/>
        <v>0</v>
      </c>
      <c r="W7">
        <f t="shared" si="6"/>
        <v>0</v>
      </c>
      <c r="X7">
        <f t="shared" si="7"/>
        <v>0</v>
      </c>
      <c r="AA7" s="125">
        <v>44166</v>
      </c>
      <c r="AB7" s="2">
        <v>3</v>
      </c>
      <c r="AD7" s="10">
        <f>INDEX(AA6:AA1048576,AD6,0)</f>
        <v>44176</v>
      </c>
      <c r="AF7" s="125">
        <v>44166</v>
      </c>
      <c r="AG7" s="2">
        <v>3</v>
      </c>
      <c r="AI7" s="22">
        <f>AI5/AI6</f>
        <v>8.7912087912087919E-2</v>
      </c>
    </row>
    <row r="8" spans="1:35" x14ac:dyDescent="0.35">
      <c r="B8" s="19">
        <v>3</v>
      </c>
      <c r="C8" s="2">
        <v>26</v>
      </c>
      <c r="E8" s="19" t="s">
        <v>52</v>
      </c>
      <c r="F8" s="2">
        <v>0</v>
      </c>
      <c r="G8" s="2">
        <v>0</v>
      </c>
      <c r="H8" s="2">
        <v>2</v>
      </c>
      <c r="I8" s="2">
        <v>2</v>
      </c>
      <c r="J8" s="2">
        <v>2</v>
      </c>
      <c r="K8" s="2">
        <v>7</v>
      </c>
      <c r="L8" s="2">
        <v>0</v>
      </c>
      <c r="M8" s="2">
        <v>13</v>
      </c>
      <c r="N8" s="2"/>
      <c r="O8" s="2"/>
      <c r="P8" s="20" t="s">
        <v>47</v>
      </c>
      <c r="Q8">
        <f t="shared" si="0"/>
        <v>20</v>
      </c>
      <c r="R8">
        <f t="shared" si="1"/>
        <v>0</v>
      </c>
      <c r="S8">
        <f t="shared" si="2"/>
        <v>8</v>
      </c>
      <c r="T8" s="42">
        <f t="shared" si="3"/>
        <v>4</v>
      </c>
      <c r="U8">
        <f t="shared" si="4"/>
        <v>8</v>
      </c>
      <c r="V8">
        <f t="shared" si="5"/>
        <v>0</v>
      </c>
      <c r="W8">
        <f>VLOOKUP(P8, $E$7:$M$1048576, 2,FALSE)</f>
        <v>0</v>
      </c>
      <c r="X8">
        <f t="shared" si="7"/>
        <v>0</v>
      </c>
      <c r="AA8" s="125">
        <v>44167</v>
      </c>
      <c r="AB8" s="2">
        <v>3</v>
      </c>
      <c r="AF8" s="125">
        <v>44167</v>
      </c>
      <c r="AG8" s="2">
        <v>3</v>
      </c>
    </row>
    <row r="9" spans="1:35" x14ac:dyDescent="0.35">
      <c r="B9" s="19">
        <v>4</v>
      </c>
      <c r="C9" s="2">
        <v>22</v>
      </c>
      <c r="E9" s="19" t="s">
        <v>53</v>
      </c>
      <c r="F9" s="2">
        <v>0</v>
      </c>
      <c r="G9" s="2">
        <v>1</v>
      </c>
      <c r="H9" s="2">
        <v>8</v>
      </c>
      <c r="I9" s="2">
        <v>3</v>
      </c>
      <c r="J9" s="2">
        <v>0</v>
      </c>
      <c r="K9" s="2">
        <v>6</v>
      </c>
      <c r="L9" s="2">
        <v>0</v>
      </c>
      <c r="M9" s="2">
        <v>18</v>
      </c>
      <c r="N9" s="2"/>
      <c r="P9" s="20" t="s">
        <v>48</v>
      </c>
      <c r="Q9">
        <f t="shared" si="0"/>
        <v>25</v>
      </c>
      <c r="R9">
        <f t="shared" si="1"/>
        <v>0</v>
      </c>
      <c r="S9">
        <f t="shared" si="2"/>
        <v>13</v>
      </c>
      <c r="T9" s="42">
        <f t="shared" si="3"/>
        <v>4</v>
      </c>
      <c r="U9">
        <f t="shared" si="4"/>
        <v>7</v>
      </c>
      <c r="V9">
        <f t="shared" si="5"/>
        <v>0</v>
      </c>
      <c r="W9">
        <f t="shared" si="6"/>
        <v>0</v>
      </c>
      <c r="X9">
        <f t="shared" si="7"/>
        <v>1</v>
      </c>
      <c r="AA9" s="125">
        <v>44168</v>
      </c>
      <c r="AB9" s="2">
        <v>3</v>
      </c>
      <c r="AF9" s="125">
        <v>44168</v>
      </c>
      <c r="AG9" s="2">
        <v>3</v>
      </c>
    </row>
    <row r="10" spans="1:35" x14ac:dyDescent="0.35">
      <c r="B10" s="19">
        <v>5</v>
      </c>
      <c r="C10" s="2">
        <v>20</v>
      </c>
      <c r="E10" s="19" t="s">
        <v>54</v>
      </c>
      <c r="F10" s="2">
        <v>1</v>
      </c>
      <c r="G10" s="2">
        <v>0</v>
      </c>
      <c r="H10" s="2">
        <v>12</v>
      </c>
      <c r="I10" s="2">
        <v>2</v>
      </c>
      <c r="J10" s="2">
        <v>1</v>
      </c>
      <c r="K10" s="2">
        <v>6</v>
      </c>
      <c r="L10" s="2">
        <v>0</v>
      </c>
      <c r="M10" s="2">
        <v>22</v>
      </c>
      <c r="N10" s="2"/>
      <c r="P10" s="20" t="s">
        <v>49</v>
      </c>
      <c r="Q10">
        <f t="shared" si="0"/>
        <v>15</v>
      </c>
      <c r="R10">
        <f t="shared" si="1"/>
        <v>0</v>
      </c>
      <c r="S10">
        <f t="shared" si="2"/>
        <v>7</v>
      </c>
      <c r="T10" s="42">
        <f t="shared" si="3"/>
        <v>2</v>
      </c>
      <c r="U10">
        <f t="shared" si="4"/>
        <v>6</v>
      </c>
      <c r="V10">
        <f t="shared" si="5"/>
        <v>0</v>
      </c>
      <c r="W10">
        <f t="shared" si="6"/>
        <v>0</v>
      </c>
      <c r="X10">
        <f t="shared" si="7"/>
        <v>0</v>
      </c>
      <c r="AA10" s="125">
        <v>44169</v>
      </c>
      <c r="AB10" s="2">
        <v>2</v>
      </c>
      <c r="AF10" s="125">
        <v>44169</v>
      </c>
      <c r="AG10" s="2">
        <v>2</v>
      </c>
    </row>
    <row r="11" spans="1:35" x14ac:dyDescent="0.35">
      <c r="B11" s="19">
        <v>6</v>
      </c>
      <c r="C11" s="2">
        <v>25</v>
      </c>
      <c r="E11" s="19" t="s">
        <v>55</v>
      </c>
      <c r="F11" s="2">
        <v>0</v>
      </c>
      <c r="G11" s="2">
        <v>0</v>
      </c>
      <c r="H11" s="2">
        <v>8</v>
      </c>
      <c r="I11" s="2">
        <v>1</v>
      </c>
      <c r="J11" s="2">
        <v>0</v>
      </c>
      <c r="K11" s="2">
        <v>8</v>
      </c>
      <c r="L11" s="2">
        <v>0</v>
      </c>
      <c r="M11" s="2">
        <v>17</v>
      </c>
      <c r="N11" s="2"/>
      <c r="P11" s="20" t="s">
        <v>50</v>
      </c>
      <c r="Q11">
        <f t="shared" si="0"/>
        <v>24</v>
      </c>
      <c r="R11">
        <f t="shared" si="1"/>
        <v>0</v>
      </c>
      <c r="S11">
        <f t="shared" si="2"/>
        <v>12</v>
      </c>
      <c r="T11" s="42">
        <f t="shared" si="3"/>
        <v>2</v>
      </c>
      <c r="U11">
        <f t="shared" si="4"/>
        <v>10</v>
      </c>
      <c r="V11">
        <f t="shared" si="5"/>
        <v>0</v>
      </c>
      <c r="W11">
        <f t="shared" si="6"/>
        <v>0</v>
      </c>
      <c r="X11">
        <f t="shared" si="7"/>
        <v>0</v>
      </c>
      <c r="AA11" s="125">
        <v>44170</v>
      </c>
      <c r="AB11" s="2">
        <v>0</v>
      </c>
      <c r="AF11" s="125">
        <v>44170</v>
      </c>
      <c r="AG11" s="2">
        <v>0</v>
      </c>
    </row>
    <row r="12" spans="1:35" x14ac:dyDescent="0.35">
      <c r="B12" s="19">
        <v>7</v>
      </c>
      <c r="C12" s="2">
        <v>15</v>
      </c>
      <c r="E12" s="19" t="s">
        <v>44</v>
      </c>
      <c r="F12" s="2">
        <v>0</v>
      </c>
      <c r="G12" s="2">
        <v>0</v>
      </c>
      <c r="H12" s="2">
        <v>41</v>
      </c>
      <c r="I12" s="2">
        <v>2</v>
      </c>
      <c r="J12" s="2">
        <v>0</v>
      </c>
      <c r="K12" s="2">
        <v>1</v>
      </c>
      <c r="L12" s="2">
        <v>0</v>
      </c>
      <c r="M12" s="2">
        <v>44</v>
      </c>
      <c r="N12" s="2"/>
      <c r="P12" s="20" t="s">
        <v>51</v>
      </c>
      <c r="Q12">
        <f t="shared" si="0"/>
        <v>14</v>
      </c>
      <c r="R12">
        <f t="shared" si="1"/>
        <v>0</v>
      </c>
      <c r="S12">
        <f t="shared" si="2"/>
        <v>9</v>
      </c>
      <c r="T12" s="42">
        <f t="shared" si="3"/>
        <v>1</v>
      </c>
      <c r="U12">
        <f t="shared" si="4"/>
        <v>3</v>
      </c>
      <c r="V12">
        <f t="shared" si="5"/>
        <v>0</v>
      </c>
      <c r="W12">
        <f t="shared" si="6"/>
        <v>0</v>
      </c>
      <c r="X12">
        <f t="shared" si="7"/>
        <v>1</v>
      </c>
      <c r="AA12" s="125">
        <v>44171</v>
      </c>
      <c r="AB12" s="2">
        <v>4</v>
      </c>
      <c r="AF12" s="125">
        <v>44171</v>
      </c>
      <c r="AG12" s="2">
        <v>4</v>
      </c>
    </row>
    <row r="13" spans="1:35" x14ac:dyDescent="0.35">
      <c r="B13" s="19">
        <v>8</v>
      </c>
      <c r="C13" s="2">
        <v>24</v>
      </c>
      <c r="E13" s="19" t="s">
        <v>45</v>
      </c>
      <c r="F13" s="2">
        <v>0</v>
      </c>
      <c r="G13" s="2">
        <v>1</v>
      </c>
      <c r="H13" s="2">
        <v>16</v>
      </c>
      <c r="I13" s="2">
        <v>3</v>
      </c>
      <c r="J13" s="2">
        <v>2</v>
      </c>
      <c r="K13" s="2">
        <v>4</v>
      </c>
      <c r="L13" s="2">
        <v>0</v>
      </c>
      <c r="M13" s="2">
        <v>26</v>
      </c>
      <c r="N13" s="2"/>
      <c r="P13" s="20" t="s">
        <v>52</v>
      </c>
      <c r="Q13">
        <f t="shared" si="0"/>
        <v>13</v>
      </c>
      <c r="R13">
        <f t="shared" si="1"/>
        <v>0</v>
      </c>
      <c r="S13">
        <f t="shared" si="2"/>
        <v>2</v>
      </c>
      <c r="T13" s="42">
        <f t="shared" si="3"/>
        <v>2</v>
      </c>
      <c r="U13">
        <f t="shared" si="4"/>
        <v>7</v>
      </c>
      <c r="V13">
        <f t="shared" si="5"/>
        <v>0</v>
      </c>
      <c r="W13">
        <f t="shared" si="6"/>
        <v>0</v>
      </c>
      <c r="X13">
        <f t="shared" si="7"/>
        <v>2</v>
      </c>
      <c r="AA13" s="125">
        <v>44172</v>
      </c>
      <c r="AB13" s="2">
        <v>1</v>
      </c>
      <c r="AF13" s="125">
        <v>44172</v>
      </c>
      <c r="AG13" s="2">
        <v>1</v>
      </c>
    </row>
    <row r="14" spans="1:35" x14ac:dyDescent="0.35">
      <c r="B14" s="19">
        <v>9</v>
      </c>
      <c r="C14" s="2">
        <v>14</v>
      </c>
      <c r="E14" s="19" t="s">
        <v>46</v>
      </c>
      <c r="F14" s="2">
        <v>0</v>
      </c>
      <c r="G14" s="2">
        <v>0</v>
      </c>
      <c r="H14" s="2">
        <v>14</v>
      </c>
      <c r="I14" s="2">
        <v>2</v>
      </c>
      <c r="J14" s="2">
        <v>0</v>
      </c>
      <c r="K14" s="2">
        <v>6</v>
      </c>
      <c r="L14" s="2">
        <v>0</v>
      </c>
      <c r="M14" s="2">
        <v>22</v>
      </c>
      <c r="N14" s="2"/>
      <c r="P14" s="20" t="s">
        <v>53</v>
      </c>
      <c r="Q14">
        <f t="shared" si="0"/>
        <v>18</v>
      </c>
      <c r="R14">
        <f t="shared" si="1"/>
        <v>1</v>
      </c>
      <c r="S14">
        <f t="shared" si="2"/>
        <v>8</v>
      </c>
      <c r="T14" s="42">
        <f t="shared" si="3"/>
        <v>3</v>
      </c>
      <c r="U14">
        <f t="shared" si="4"/>
        <v>6</v>
      </c>
      <c r="V14">
        <f t="shared" si="5"/>
        <v>0</v>
      </c>
      <c r="W14">
        <f t="shared" si="6"/>
        <v>0</v>
      </c>
      <c r="X14">
        <f t="shared" si="7"/>
        <v>0</v>
      </c>
      <c r="AA14" s="125">
        <v>44173</v>
      </c>
      <c r="AB14" s="2">
        <v>1</v>
      </c>
      <c r="AF14" s="125">
        <v>44173</v>
      </c>
      <c r="AG14" s="2">
        <v>1</v>
      </c>
    </row>
    <row r="15" spans="1:35" x14ac:dyDescent="0.35">
      <c r="B15" s="19">
        <v>10</v>
      </c>
      <c r="C15" s="2">
        <v>13</v>
      </c>
      <c r="E15" s="19" t="s">
        <v>47</v>
      </c>
      <c r="F15" s="2">
        <v>0</v>
      </c>
      <c r="G15" s="2">
        <v>0</v>
      </c>
      <c r="H15" s="2">
        <v>8</v>
      </c>
      <c r="I15" s="2">
        <v>4</v>
      </c>
      <c r="J15" s="2">
        <v>0</v>
      </c>
      <c r="K15" s="2">
        <v>8</v>
      </c>
      <c r="L15" s="2">
        <v>0</v>
      </c>
      <c r="M15" s="2">
        <v>20</v>
      </c>
      <c r="N15" s="2"/>
      <c r="P15" s="20" t="s">
        <v>54</v>
      </c>
      <c r="Q15">
        <f t="shared" si="0"/>
        <v>22</v>
      </c>
      <c r="R15">
        <f t="shared" si="1"/>
        <v>0</v>
      </c>
      <c r="S15">
        <f t="shared" si="2"/>
        <v>12</v>
      </c>
      <c r="T15" s="42">
        <f>VLOOKUP(P15, $E$7:$M$1048576, 5,FALSE)</f>
        <v>2</v>
      </c>
      <c r="U15">
        <f t="shared" si="4"/>
        <v>6</v>
      </c>
      <c r="V15">
        <f t="shared" si="5"/>
        <v>0</v>
      </c>
      <c r="W15">
        <f t="shared" si="6"/>
        <v>1</v>
      </c>
      <c r="X15">
        <f t="shared" si="7"/>
        <v>1</v>
      </c>
      <c r="AA15" s="125">
        <v>44174</v>
      </c>
      <c r="AB15" s="2">
        <v>7</v>
      </c>
      <c r="AF15" s="125">
        <v>44174</v>
      </c>
      <c r="AG15" s="2">
        <v>7</v>
      </c>
    </row>
    <row r="16" spans="1:35" x14ac:dyDescent="0.35">
      <c r="B16" s="19">
        <v>11</v>
      </c>
      <c r="C16" s="2">
        <v>18</v>
      </c>
      <c r="E16" s="19" t="s">
        <v>48</v>
      </c>
      <c r="F16" s="2">
        <v>0</v>
      </c>
      <c r="G16" s="2">
        <v>0</v>
      </c>
      <c r="H16" s="2">
        <v>13</v>
      </c>
      <c r="I16" s="2">
        <v>4</v>
      </c>
      <c r="J16" s="2">
        <v>1</v>
      </c>
      <c r="K16" s="2">
        <v>7</v>
      </c>
      <c r="L16" s="2">
        <v>0</v>
      </c>
      <c r="M16" s="2">
        <v>25</v>
      </c>
      <c r="N16" s="2"/>
      <c r="P16" s="20" t="s">
        <v>55</v>
      </c>
      <c r="Q16">
        <f>VLOOKUP(P16, $E$7:$M$1048576, 9,FALSE)</f>
        <v>17</v>
      </c>
      <c r="R16">
        <f t="shared" si="1"/>
        <v>0</v>
      </c>
      <c r="S16">
        <f t="shared" si="2"/>
        <v>8</v>
      </c>
      <c r="T16" s="42">
        <f>VLOOKUP(P16, $E$7:$M$1048576, 5,FALSE)</f>
        <v>1</v>
      </c>
      <c r="U16">
        <f t="shared" si="4"/>
        <v>8</v>
      </c>
      <c r="V16">
        <f t="shared" si="5"/>
        <v>0</v>
      </c>
      <c r="W16">
        <f t="shared" si="6"/>
        <v>0</v>
      </c>
      <c r="X16">
        <f t="shared" si="7"/>
        <v>0</v>
      </c>
      <c r="AA16" s="125">
        <v>44175</v>
      </c>
      <c r="AB16" s="2">
        <v>1</v>
      </c>
      <c r="AF16" s="125">
        <v>44175</v>
      </c>
      <c r="AG16" s="2">
        <v>1</v>
      </c>
    </row>
    <row r="17" spans="2:33" x14ac:dyDescent="0.35">
      <c r="B17" s="19">
        <v>12</v>
      </c>
      <c r="C17" s="2">
        <v>22</v>
      </c>
      <c r="E17" s="19" t="s">
        <v>49</v>
      </c>
      <c r="F17" s="2">
        <v>0</v>
      </c>
      <c r="G17" s="2">
        <v>0</v>
      </c>
      <c r="H17" s="2">
        <v>7</v>
      </c>
      <c r="I17" s="2">
        <v>2</v>
      </c>
      <c r="J17" s="2">
        <v>0</v>
      </c>
      <c r="K17" s="2">
        <v>6</v>
      </c>
      <c r="L17" s="2">
        <v>0</v>
      </c>
      <c r="M17" s="2">
        <v>15</v>
      </c>
      <c r="N17" s="2"/>
      <c r="P17" s="20"/>
      <c r="T17" s="42"/>
      <c r="W17" s="114"/>
      <c r="AA17" s="125">
        <v>44176</v>
      </c>
      <c r="AB17" s="2">
        <v>20</v>
      </c>
      <c r="AF17" s="125">
        <v>44176</v>
      </c>
      <c r="AG17" s="2">
        <v>20</v>
      </c>
    </row>
    <row r="18" spans="2:33" x14ac:dyDescent="0.35">
      <c r="B18" s="19">
        <v>13</v>
      </c>
      <c r="C18" s="2">
        <v>17</v>
      </c>
      <c r="E18" s="19" t="s">
        <v>50</v>
      </c>
      <c r="F18" s="2">
        <v>0</v>
      </c>
      <c r="G18" s="2">
        <v>0</v>
      </c>
      <c r="H18" s="2">
        <v>12</v>
      </c>
      <c r="I18" s="2">
        <v>2</v>
      </c>
      <c r="J18" s="2">
        <v>0</v>
      </c>
      <c r="K18" s="2">
        <v>10</v>
      </c>
      <c r="L18" s="2">
        <v>0</v>
      </c>
      <c r="M18" s="2">
        <v>24</v>
      </c>
      <c r="N18" s="2"/>
      <c r="AA18" s="125">
        <v>44177</v>
      </c>
      <c r="AB18" s="2">
        <v>8</v>
      </c>
      <c r="AF18" s="125">
        <v>44177</v>
      </c>
      <c r="AG18" s="2">
        <v>8</v>
      </c>
    </row>
    <row r="19" spans="2:33" x14ac:dyDescent="0.35">
      <c r="B19" s="19" t="s">
        <v>39</v>
      </c>
      <c r="C19" s="2">
        <v>278</v>
      </c>
      <c r="E19" s="19" t="s">
        <v>51</v>
      </c>
      <c r="F19" s="2">
        <v>0</v>
      </c>
      <c r="G19" s="2">
        <v>0</v>
      </c>
      <c r="H19" s="2">
        <v>9</v>
      </c>
      <c r="I19" s="2">
        <v>1</v>
      </c>
      <c r="J19" s="2">
        <v>1</v>
      </c>
      <c r="K19" s="2">
        <v>3</v>
      </c>
      <c r="L19" s="2">
        <v>0</v>
      </c>
      <c r="M19" s="2">
        <v>14</v>
      </c>
      <c r="N19" s="2"/>
      <c r="AA19" s="125">
        <v>44178</v>
      </c>
      <c r="AB19" s="2">
        <v>6</v>
      </c>
      <c r="AF19" s="125">
        <v>44178</v>
      </c>
      <c r="AG19" s="2">
        <v>6</v>
      </c>
    </row>
    <row r="20" spans="2:33" x14ac:dyDescent="0.35">
      <c r="E20" s="19" t="s">
        <v>39</v>
      </c>
      <c r="F20" s="2">
        <v>1</v>
      </c>
      <c r="G20" s="2">
        <v>2</v>
      </c>
      <c r="H20" s="2">
        <v>158</v>
      </c>
      <c r="I20" s="2">
        <v>30</v>
      </c>
      <c r="J20" s="2">
        <v>8</v>
      </c>
      <c r="K20" s="2">
        <v>75</v>
      </c>
      <c r="L20" s="2">
        <v>4</v>
      </c>
      <c r="M20" s="2">
        <v>278</v>
      </c>
      <c r="N20" s="2"/>
      <c r="AA20" s="125">
        <v>44179</v>
      </c>
      <c r="AB20" s="2">
        <v>0</v>
      </c>
      <c r="AF20" s="125">
        <v>44179</v>
      </c>
      <c r="AG20" s="2">
        <v>0</v>
      </c>
    </row>
    <row r="21" spans="2:33" x14ac:dyDescent="0.35">
      <c r="AA21" s="125">
        <v>44180</v>
      </c>
      <c r="AB21" s="2">
        <v>6</v>
      </c>
      <c r="AF21" s="125">
        <v>44180</v>
      </c>
      <c r="AG21" s="2">
        <v>6</v>
      </c>
    </row>
    <row r="22" spans="2:33" x14ac:dyDescent="0.35">
      <c r="AA22" s="125">
        <v>44181</v>
      </c>
      <c r="AB22" s="2">
        <v>7</v>
      </c>
      <c r="AF22" s="125">
        <v>44181</v>
      </c>
      <c r="AG22" s="2">
        <v>7</v>
      </c>
    </row>
    <row r="23" spans="2:33" x14ac:dyDescent="0.35">
      <c r="AA23" s="125">
        <v>44182</v>
      </c>
      <c r="AB23" s="2">
        <v>2</v>
      </c>
      <c r="AF23" s="125">
        <v>44182</v>
      </c>
      <c r="AG23" s="2">
        <v>2</v>
      </c>
    </row>
    <row r="24" spans="2:33" x14ac:dyDescent="0.35">
      <c r="AA24" s="125">
        <v>44183</v>
      </c>
      <c r="AB24" s="2">
        <v>2</v>
      </c>
      <c r="AF24" s="125">
        <v>44183</v>
      </c>
      <c r="AG24" s="2">
        <v>2</v>
      </c>
    </row>
    <row r="25" spans="2:33" x14ac:dyDescent="0.35">
      <c r="AA25" s="125">
        <v>44184</v>
      </c>
      <c r="AB25" s="2">
        <v>6</v>
      </c>
      <c r="AF25" s="125">
        <v>44184</v>
      </c>
      <c r="AG25" s="2">
        <v>6</v>
      </c>
    </row>
    <row r="26" spans="2:33" x14ac:dyDescent="0.35">
      <c r="AA26" s="125">
        <v>44185</v>
      </c>
      <c r="AB26" s="2">
        <v>3</v>
      </c>
      <c r="AF26" s="125">
        <v>44185</v>
      </c>
      <c r="AG26" s="2">
        <v>3</v>
      </c>
    </row>
    <row r="27" spans="2:33" x14ac:dyDescent="0.35">
      <c r="AA27" s="125">
        <v>44186</v>
      </c>
      <c r="AB27" s="2">
        <v>1</v>
      </c>
      <c r="AF27" s="125">
        <v>44186</v>
      </c>
      <c r="AG27" s="2">
        <v>1</v>
      </c>
    </row>
    <row r="28" spans="2:33" x14ac:dyDescent="0.35">
      <c r="AA28" s="125">
        <v>44187</v>
      </c>
      <c r="AB28" s="2">
        <v>6</v>
      </c>
      <c r="AF28" s="125">
        <v>44187</v>
      </c>
      <c r="AG28" s="2">
        <v>6</v>
      </c>
    </row>
    <row r="29" spans="2:33" x14ac:dyDescent="0.35">
      <c r="AA29" s="125">
        <v>44188</v>
      </c>
      <c r="AB29" s="2">
        <v>4</v>
      </c>
      <c r="AF29" s="125">
        <v>44188</v>
      </c>
      <c r="AG29" s="2">
        <v>4</v>
      </c>
    </row>
    <row r="30" spans="2:33" x14ac:dyDescent="0.35">
      <c r="AA30" s="125">
        <v>44189</v>
      </c>
      <c r="AB30" s="2">
        <v>1</v>
      </c>
      <c r="AF30" s="125">
        <v>44189</v>
      </c>
      <c r="AG30" s="2">
        <v>1</v>
      </c>
    </row>
    <row r="31" spans="2:33" x14ac:dyDescent="0.35">
      <c r="AA31" s="125">
        <v>44190</v>
      </c>
      <c r="AB31" s="2">
        <v>3</v>
      </c>
      <c r="AF31" s="125">
        <v>44190</v>
      </c>
      <c r="AG31" s="2">
        <v>3</v>
      </c>
    </row>
    <row r="32" spans="2:33" x14ac:dyDescent="0.35">
      <c r="AA32" s="125">
        <v>44191</v>
      </c>
      <c r="AB32" s="2">
        <v>3</v>
      </c>
      <c r="AF32" s="125">
        <v>44191</v>
      </c>
      <c r="AG32" s="2">
        <v>3</v>
      </c>
    </row>
    <row r="33" spans="27:33" x14ac:dyDescent="0.35">
      <c r="AA33" s="125">
        <v>44192</v>
      </c>
      <c r="AB33" s="2">
        <v>4</v>
      </c>
      <c r="AF33" s="125">
        <v>44192</v>
      </c>
      <c r="AG33" s="2">
        <v>4</v>
      </c>
    </row>
    <row r="34" spans="27:33" x14ac:dyDescent="0.35">
      <c r="AA34" s="125">
        <v>44193</v>
      </c>
      <c r="AB34" s="2">
        <v>2</v>
      </c>
      <c r="AF34" s="125">
        <v>44193</v>
      </c>
      <c r="AG34" s="2">
        <v>2</v>
      </c>
    </row>
    <row r="35" spans="27:33" x14ac:dyDescent="0.35">
      <c r="AA35" s="125">
        <v>44194</v>
      </c>
      <c r="AB35" s="2">
        <v>5</v>
      </c>
      <c r="AF35" s="125">
        <v>44194</v>
      </c>
      <c r="AG35" s="2">
        <v>5</v>
      </c>
    </row>
    <row r="36" spans="27:33" x14ac:dyDescent="0.35">
      <c r="AA36" s="125">
        <v>44195</v>
      </c>
      <c r="AB36" s="2">
        <v>3</v>
      </c>
      <c r="AF36" s="125">
        <v>44195</v>
      </c>
      <c r="AG36" s="2">
        <v>3</v>
      </c>
    </row>
    <row r="37" spans="27:33" x14ac:dyDescent="0.35">
      <c r="AA37" s="125">
        <v>44196</v>
      </c>
      <c r="AB37" s="2">
        <v>1</v>
      </c>
      <c r="AF37" s="125">
        <v>44196</v>
      </c>
      <c r="AG37" s="2">
        <v>1</v>
      </c>
    </row>
    <row r="38" spans="27:33" x14ac:dyDescent="0.35">
      <c r="AA38" s="125">
        <v>44197</v>
      </c>
      <c r="AB38" s="2">
        <v>3</v>
      </c>
      <c r="AF38" s="125">
        <v>44197</v>
      </c>
      <c r="AG38" s="2">
        <v>3</v>
      </c>
    </row>
    <row r="39" spans="27:33" x14ac:dyDescent="0.35">
      <c r="AA39" s="125">
        <v>44198</v>
      </c>
      <c r="AB39" s="2">
        <v>1</v>
      </c>
      <c r="AF39" s="125">
        <v>44198</v>
      </c>
      <c r="AG39" s="2">
        <v>1</v>
      </c>
    </row>
    <row r="40" spans="27:33" x14ac:dyDescent="0.35">
      <c r="AA40" s="125">
        <v>44199</v>
      </c>
      <c r="AB40" s="2">
        <v>5</v>
      </c>
      <c r="AF40" s="125">
        <v>44199</v>
      </c>
      <c r="AG40" s="2">
        <v>5</v>
      </c>
    </row>
    <row r="41" spans="27:33" x14ac:dyDescent="0.35">
      <c r="AA41" s="125">
        <v>44200</v>
      </c>
      <c r="AB41" s="2">
        <v>3</v>
      </c>
      <c r="AF41" s="125">
        <v>44200</v>
      </c>
      <c r="AG41" s="2">
        <v>3</v>
      </c>
    </row>
    <row r="42" spans="27:33" x14ac:dyDescent="0.35">
      <c r="AA42" s="125">
        <v>44201</v>
      </c>
      <c r="AB42" s="2">
        <v>4</v>
      </c>
      <c r="AF42" s="125">
        <v>44201</v>
      </c>
      <c r="AG42" s="2">
        <v>4</v>
      </c>
    </row>
    <row r="43" spans="27:33" x14ac:dyDescent="0.35">
      <c r="AA43" s="125">
        <v>44202</v>
      </c>
      <c r="AB43" s="2">
        <v>5</v>
      </c>
      <c r="AF43" s="125">
        <v>44202</v>
      </c>
      <c r="AG43" s="2">
        <v>5</v>
      </c>
    </row>
    <row r="44" spans="27:33" x14ac:dyDescent="0.35">
      <c r="AA44" s="125">
        <v>44203</v>
      </c>
      <c r="AB44" s="2">
        <v>4</v>
      </c>
      <c r="AF44" s="125">
        <v>44203</v>
      </c>
      <c r="AG44" s="2">
        <v>4</v>
      </c>
    </row>
    <row r="45" spans="27:33" x14ac:dyDescent="0.35">
      <c r="AA45" s="125">
        <v>44204</v>
      </c>
      <c r="AB45" s="2">
        <v>1</v>
      </c>
      <c r="AF45" s="125">
        <v>44204</v>
      </c>
      <c r="AG45" s="2">
        <v>1</v>
      </c>
    </row>
    <row r="46" spans="27:33" x14ac:dyDescent="0.35">
      <c r="AA46" s="125">
        <v>44205</v>
      </c>
      <c r="AB46" s="2">
        <v>1</v>
      </c>
      <c r="AF46" s="125">
        <v>44205</v>
      </c>
      <c r="AG46" s="2">
        <v>1</v>
      </c>
    </row>
    <row r="47" spans="27:33" x14ac:dyDescent="0.35">
      <c r="AA47" s="125">
        <v>44206</v>
      </c>
      <c r="AB47" s="2">
        <v>7</v>
      </c>
      <c r="AF47" s="125">
        <v>44206</v>
      </c>
      <c r="AG47" s="2">
        <v>7</v>
      </c>
    </row>
    <row r="48" spans="27:33" x14ac:dyDescent="0.35">
      <c r="AA48" s="125">
        <v>44207</v>
      </c>
      <c r="AB48" s="2">
        <v>2</v>
      </c>
      <c r="AF48" s="125">
        <v>44207</v>
      </c>
      <c r="AG48" s="2">
        <v>2</v>
      </c>
    </row>
    <row r="49" spans="27:33" x14ac:dyDescent="0.35">
      <c r="AA49" s="125">
        <v>44208</v>
      </c>
      <c r="AB49" s="2">
        <v>3</v>
      </c>
      <c r="AF49" s="125">
        <v>44208</v>
      </c>
      <c r="AG49" s="2">
        <v>3</v>
      </c>
    </row>
    <row r="50" spans="27:33" x14ac:dyDescent="0.35">
      <c r="AA50" s="125">
        <v>44209</v>
      </c>
      <c r="AB50" s="2">
        <v>4</v>
      </c>
      <c r="AF50" s="125">
        <v>44209</v>
      </c>
      <c r="AG50" s="2">
        <v>4</v>
      </c>
    </row>
    <row r="51" spans="27:33" x14ac:dyDescent="0.35">
      <c r="AA51" s="125">
        <v>44210</v>
      </c>
      <c r="AB51" s="2">
        <v>4</v>
      </c>
      <c r="AF51" s="125">
        <v>44210</v>
      </c>
      <c r="AG51" s="2">
        <v>4</v>
      </c>
    </row>
    <row r="52" spans="27:33" x14ac:dyDescent="0.35">
      <c r="AA52" s="125">
        <v>44211</v>
      </c>
      <c r="AB52" s="2">
        <v>1</v>
      </c>
      <c r="AF52" s="125">
        <v>44211</v>
      </c>
      <c r="AG52" s="2">
        <v>1</v>
      </c>
    </row>
    <row r="53" spans="27:33" x14ac:dyDescent="0.35">
      <c r="AA53" s="125">
        <v>44212</v>
      </c>
      <c r="AB53" s="2">
        <v>1</v>
      </c>
      <c r="AF53" s="125">
        <v>44212</v>
      </c>
      <c r="AG53" s="2">
        <v>1</v>
      </c>
    </row>
    <row r="54" spans="27:33" x14ac:dyDescent="0.35">
      <c r="AA54" s="125">
        <v>44213</v>
      </c>
      <c r="AB54" s="2">
        <v>0</v>
      </c>
      <c r="AF54" s="125">
        <v>44213</v>
      </c>
      <c r="AG54" s="2">
        <v>0</v>
      </c>
    </row>
    <row r="55" spans="27:33" x14ac:dyDescent="0.35">
      <c r="AA55" s="125">
        <v>44214</v>
      </c>
      <c r="AB55" s="2">
        <v>3</v>
      </c>
      <c r="AF55" s="125">
        <v>44214</v>
      </c>
      <c r="AG55" s="2">
        <v>3</v>
      </c>
    </row>
    <row r="56" spans="27:33" x14ac:dyDescent="0.35">
      <c r="AA56" s="125">
        <v>44215</v>
      </c>
      <c r="AB56" s="2">
        <v>3</v>
      </c>
      <c r="AF56" s="125">
        <v>44215</v>
      </c>
      <c r="AG56" s="2">
        <v>3</v>
      </c>
    </row>
    <row r="57" spans="27:33" x14ac:dyDescent="0.35">
      <c r="AA57" s="125">
        <v>44216</v>
      </c>
      <c r="AB57" s="2">
        <v>3</v>
      </c>
      <c r="AF57" s="125">
        <v>44216</v>
      </c>
      <c r="AG57" s="2">
        <v>3</v>
      </c>
    </row>
    <row r="58" spans="27:33" x14ac:dyDescent="0.35">
      <c r="AA58" s="125">
        <v>44217</v>
      </c>
      <c r="AB58" s="2">
        <v>3</v>
      </c>
      <c r="AF58" s="125">
        <v>44217</v>
      </c>
      <c r="AG58" s="2">
        <v>3</v>
      </c>
    </row>
    <row r="59" spans="27:33" x14ac:dyDescent="0.35">
      <c r="AA59" s="125">
        <v>44218</v>
      </c>
      <c r="AB59" s="2">
        <v>3</v>
      </c>
      <c r="AF59" s="125">
        <v>44218</v>
      </c>
      <c r="AG59" s="2">
        <v>3</v>
      </c>
    </row>
    <row r="60" spans="27:33" x14ac:dyDescent="0.35">
      <c r="AA60" s="125">
        <v>44219</v>
      </c>
      <c r="AB60" s="2">
        <v>3</v>
      </c>
      <c r="AF60" s="125">
        <v>44219</v>
      </c>
      <c r="AG60" s="2">
        <v>3</v>
      </c>
    </row>
    <row r="61" spans="27:33" x14ac:dyDescent="0.35">
      <c r="AA61" s="125">
        <v>44220</v>
      </c>
      <c r="AB61" s="2">
        <v>6</v>
      </c>
      <c r="AF61" s="125">
        <v>44220</v>
      </c>
      <c r="AG61" s="2">
        <v>6</v>
      </c>
    </row>
    <row r="62" spans="27:33" x14ac:dyDescent="0.35">
      <c r="AA62" s="125">
        <v>44221</v>
      </c>
      <c r="AB62" s="2">
        <v>2</v>
      </c>
      <c r="AF62" s="125">
        <v>44221</v>
      </c>
      <c r="AG62" s="2">
        <v>2</v>
      </c>
    </row>
    <row r="63" spans="27:33" x14ac:dyDescent="0.35">
      <c r="AA63" s="125">
        <v>44222</v>
      </c>
      <c r="AB63" s="2">
        <v>4</v>
      </c>
      <c r="AF63" s="125">
        <v>44222</v>
      </c>
      <c r="AG63" s="2">
        <v>4</v>
      </c>
    </row>
    <row r="64" spans="27:33" x14ac:dyDescent="0.35">
      <c r="AA64" s="125">
        <v>44223</v>
      </c>
      <c r="AB64" s="2">
        <v>2</v>
      </c>
      <c r="AF64" s="125">
        <v>44223</v>
      </c>
      <c r="AG64" s="2">
        <v>2</v>
      </c>
    </row>
    <row r="65" spans="27:33" x14ac:dyDescent="0.35">
      <c r="AA65" s="125">
        <v>44224</v>
      </c>
      <c r="AB65" s="2">
        <v>5</v>
      </c>
      <c r="AF65" s="125">
        <v>44224</v>
      </c>
      <c r="AG65" s="2">
        <v>5</v>
      </c>
    </row>
    <row r="66" spans="27:33" x14ac:dyDescent="0.35">
      <c r="AA66" s="125">
        <v>44225</v>
      </c>
      <c r="AB66" s="2">
        <v>1</v>
      </c>
      <c r="AF66" s="125">
        <v>44225</v>
      </c>
      <c r="AG66" s="2">
        <v>1</v>
      </c>
    </row>
    <row r="67" spans="27:33" x14ac:dyDescent="0.35">
      <c r="AA67" s="125">
        <v>44226</v>
      </c>
      <c r="AB67" s="2">
        <v>0</v>
      </c>
      <c r="AF67" s="125">
        <v>44226</v>
      </c>
      <c r="AG67" s="2">
        <v>0</v>
      </c>
    </row>
    <row r="68" spans="27:33" x14ac:dyDescent="0.35">
      <c r="AA68" s="125">
        <v>44227</v>
      </c>
      <c r="AB68" s="2">
        <v>0</v>
      </c>
      <c r="AF68" s="125">
        <v>44227</v>
      </c>
      <c r="AG68" s="2">
        <v>0</v>
      </c>
    </row>
    <row r="69" spans="27:33" x14ac:dyDescent="0.35">
      <c r="AA69" s="125">
        <v>44228</v>
      </c>
      <c r="AB69" s="2">
        <v>0</v>
      </c>
      <c r="AF69" s="125">
        <v>44228</v>
      </c>
      <c r="AG69" s="2">
        <v>0</v>
      </c>
    </row>
    <row r="70" spans="27:33" x14ac:dyDescent="0.35">
      <c r="AA70" s="125">
        <v>44229</v>
      </c>
      <c r="AB70" s="2">
        <v>1</v>
      </c>
      <c r="AF70" s="125">
        <v>44229</v>
      </c>
      <c r="AG70" s="2">
        <v>1</v>
      </c>
    </row>
    <row r="71" spans="27:33" x14ac:dyDescent="0.35">
      <c r="AA71" s="125">
        <v>44230</v>
      </c>
      <c r="AB71" s="2">
        <v>1</v>
      </c>
      <c r="AF71" s="125">
        <v>44230</v>
      </c>
      <c r="AG71" s="2">
        <v>1</v>
      </c>
    </row>
    <row r="72" spans="27:33" x14ac:dyDescent="0.35">
      <c r="AA72" s="125">
        <v>44231</v>
      </c>
      <c r="AB72" s="2">
        <v>4</v>
      </c>
      <c r="AF72" s="125">
        <v>44231</v>
      </c>
      <c r="AG72" s="2">
        <v>4</v>
      </c>
    </row>
    <row r="73" spans="27:33" x14ac:dyDescent="0.35">
      <c r="AA73" s="125">
        <v>44232</v>
      </c>
      <c r="AB73" s="2">
        <v>3</v>
      </c>
      <c r="AF73" s="125">
        <v>44232</v>
      </c>
      <c r="AG73" s="2">
        <v>3</v>
      </c>
    </row>
    <row r="74" spans="27:33" x14ac:dyDescent="0.35">
      <c r="AA74" s="125">
        <v>44233</v>
      </c>
      <c r="AB74" s="2">
        <v>3</v>
      </c>
      <c r="AF74" s="125">
        <v>44233</v>
      </c>
      <c r="AG74" s="2">
        <v>3</v>
      </c>
    </row>
    <row r="75" spans="27:33" x14ac:dyDescent="0.35">
      <c r="AA75" s="125">
        <v>44234</v>
      </c>
      <c r="AB75" s="2">
        <v>1</v>
      </c>
      <c r="AF75" s="125">
        <v>44234</v>
      </c>
      <c r="AG75" s="2">
        <v>1</v>
      </c>
    </row>
    <row r="76" spans="27:33" x14ac:dyDescent="0.35">
      <c r="AA76" s="125">
        <v>44235</v>
      </c>
      <c r="AB76" s="2">
        <v>3</v>
      </c>
      <c r="AF76" s="125">
        <v>44235</v>
      </c>
      <c r="AG76" s="2">
        <v>3</v>
      </c>
    </row>
    <row r="77" spans="27:33" x14ac:dyDescent="0.35">
      <c r="AA77" s="125">
        <v>44236</v>
      </c>
      <c r="AB77" s="2">
        <v>3</v>
      </c>
      <c r="AF77" s="125">
        <v>44236</v>
      </c>
      <c r="AG77" s="2">
        <v>3</v>
      </c>
    </row>
    <row r="78" spans="27:33" x14ac:dyDescent="0.35">
      <c r="AA78" s="125">
        <v>44237</v>
      </c>
      <c r="AB78" s="2">
        <v>3</v>
      </c>
      <c r="AF78" s="125">
        <v>44237</v>
      </c>
      <c r="AG78" s="2">
        <v>3</v>
      </c>
    </row>
    <row r="79" spans="27:33" x14ac:dyDescent="0.35">
      <c r="AA79" s="125">
        <v>44238</v>
      </c>
      <c r="AB79" s="2">
        <v>2</v>
      </c>
      <c r="AF79" s="125">
        <v>44238</v>
      </c>
      <c r="AG79" s="2">
        <v>2</v>
      </c>
    </row>
    <row r="80" spans="27:33" x14ac:dyDescent="0.35">
      <c r="AA80" s="125">
        <v>44239</v>
      </c>
      <c r="AB80" s="2">
        <v>2</v>
      </c>
      <c r="AF80" s="125">
        <v>44239</v>
      </c>
      <c r="AG80" s="2">
        <v>2</v>
      </c>
    </row>
    <row r="81" spans="27:33" x14ac:dyDescent="0.35">
      <c r="AA81" s="125">
        <v>44240</v>
      </c>
      <c r="AB81" s="2">
        <v>3</v>
      </c>
      <c r="AF81" s="125">
        <v>44240</v>
      </c>
      <c r="AG81" s="2">
        <v>3</v>
      </c>
    </row>
    <row r="82" spans="27:33" x14ac:dyDescent="0.35">
      <c r="AA82" s="125">
        <v>44241</v>
      </c>
      <c r="AB82" s="2">
        <v>2</v>
      </c>
      <c r="AF82" s="125">
        <v>44241</v>
      </c>
      <c r="AG82" s="2">
        <v>2</v>
      </c>
    </row>
    <row r="83" spans="27:33" x14ac:dyDescent="0.35">
      <c r="AA83" s="125">
        <v>44242</v>
      </c>
      <c r="AB83" s="2">
        <v>2</v>
      </c>
      <c r="AF83" s="125">
        <v>44242</v>
      </c>
      <c r="AG83" s="2">
        <v>2</v>
      </c>
    </row>
    <row r="84" spans="27:33" x14ac:dyDescent="0.35">
      <c r="AA84" s="125">
        <v>44243</v>
      </c>
      <c r="AB84" s="2">
        <v>2</v>
      </c>
      <c r="AF84" s="125">
        <v>44243</v>
      </c>
      <c r="AG84" s="2">
        <v>2</v>
      </c>
    </row>
    <row r="85" spans="27:33" x14ac:dyDescent="0.35">
      <c r="AA85" s="125">
        <v>44244</v>
      </c>
      <c r="AB85" s="2">
        <v>3</v>
      </c>
      <c r="AF85" s="125">
        <v>44244</v>
      </c>
      <c r="AG85" s="2">
        <v>3</v>
      </c>
    </row>
    <row r="86" spans="27:33" x14ac:dyDescent="0.35">
      <c r="AA86" s="125">
        <v>44245</v>
      </c>
      <c r="AB86" s="2">
        <v>2</v>
      </c>
      <c r="AF86" s="125">
        <v>44245</v>
      </c>
      <c r="AG86" s="2">
        <v>2</v>
      </c>
    </row>
    <row r="87" spans="27:33" x14ac:dyDescent="0.35">
      <c r="AA87" s="125">
        <v>44246</v>
      </c>
      <c r="AB87" s="2">
        <v>4</v>
      </c>
      <c r="AF87" s="125">
        <v>44246</v>
      </c>
      <c r="AG87" s="2">
        <v>4</v>
      </c>
    </row>
    <row r="88" spans="27:33" x14ac:dyDescent="0.35">
      <c r="AA88" s="125">
        <v>44247</v>
      </c>
      <c r="AB88" s="2">
        <v>5</v>
      </c>
      <c r="AF88" s="125">
        <v>44247</v>
      </c>
      <c r="AG88" s="2">
        <v>5</v>
      </c>
    </row>
    <row r="89" spans="27:33" x14ac:dyDescent="0.35">
      <c r="AA89" s="125">
        <v>44248</v>
      </c>
      <c r="AB89" s="2">
        <v>4</v>
      </c>
      <c r="AF89" s="125">
        <v>44248</v>
      </c>
      <c r="AG89" s="2">
        <v>4</v>
      </c>
    </row>
    <row r="90" spans="27:33" x14ac:dyDescent="0.35">
      <c r="AA90" s="125">
        <v>44249</v>
      </c>
      <c r="AB90" s="2">
        <v>4</v>
      </c>
      <c r="AF90" s="125">
        <v>44249</v>
      </c>
      <c r="AG90" s="2">
        <v>4</v>
      </c>
    </row>
    <row r="91" spans="27:33" x14ac:dyDescent="0.35">
      <c r="AA91" s="125">
        <v>44250</v>
      </c>
      <c r="AB91" s="2">
        <v>2</v>
      </c>
      <c r="AF91" s="125">
        <v>44250</v>
      </c>
      <c r="AG91" s="2">
        <v>2</v>
      </c>
    </row>
    <row r="92" spans="27:33" x14ac:dyDescent="0.35">
      <c r="AA92" s="125">
        <v>44251</v>
      </c>
      <c r="AB92" s="2">
        <v>4</v>
      </c>
      <c r="AF92" s="125">
        <v>44251</v>
      </c>
      <c r="AG92" s="2">
        <v>4</v>
      </c>
    </row>
    <row r="93" spans="27:33" x14ac:dyDescent="0.35">
      <c r="AA93" s="125">
        <v>44252</v>
      </c>
      <c r="AB93" s="2">
        <v>2</v>
      </c>
      <c r="AF93" s="125">
        <v>44252</v>
      </c>
      <c r="AG93" s="2">
        <v>2</v>
      </c>
    </row>
    <row r="94" spans="27:33" x14ac:dyDescent="0.35">
      <c r="AA94" s="125">
        <v>44253</v>
      </c>
      <c r="AB94" s="2">
        <v>5</v>
      </c>
      <c r="AF94" s="125">
        <v>44253</v>
      </c>
      <c r="AG94" s="2">
        <v>5</v>
      </c>
    </row>
    <row r="95" spans="27:33" x14ac:dyDescent="0.35">
      <c r="AA95" s="125">
        <v>44254</v>
      </c>
      <c r="AB95" s="2">
        <v>0</v>
      </c>
      <c r="AF95" s="125">
        <v>44254</v>
      </c>
      <c r="AG95" s="2">
        <v>0</v>
      </c>
    </row>
    <row r="96" spans="27:33" x14ac:dyDescent="0.35">
      <c r="AA96" s="125">
        <v>44255</v>
      </c>
      <c r="AB96" s="2">
        <v>0</v>
      </c>
      <c r="AF96" s="125">
        <v>44255</v>
      </c>
      <c r="AG96" s="2">
        <v>0</v>
      </c>
    </row>
  </sheetData>
  <mergeCells count="4">
    <mergeCell ref="AF1:AI1"/>
    <mergeCell ref="AA1:AD1"/>
    <mergeCell ref="B1:C1"/>
    <mergeCell ref="E1:W1"/>
  </mergeCells>
  <pageMargins left="0.7" right="0.7" top="0.75" bottom="0.75" header="0.3" footer="0.3"/>
  <pageSetup paperSize="9"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BO97"/>
  <sheetViews>
    <sheetView topLeftCell="BF1" zoomScaleNormal="100" workbookViewId="0">
      <selection activeCell="BO8" sqref="BO8"/>
    </sheetView>
  </sheetViews>
  <sheetFormatPr defaultRowHeight="14.5" x14ac:dyDescent="0.35"/>
  <cols>
    <col min="2" max="2" width="12.36328125" bestFit="1" customWidth="1"/>
    <col min="3" max="3" width="9.90625" bestFit="1" customWidth="1"/>
    <col min="4" max="4" width="9.26953125" bestFit="1" customWidth="1"/>
    <col min="5" max="5" width="7.81640625" bestFit="1" customWidth="1"/>
    <col min="10" max="10" width="5.81640625" customWidth="1"/>
    <col min="12" max="12" width="12.36328125" bestFit="1" customWidth="1"/>
    <col min="13" max="13" width="9.90625" bestFit="1" customWidth="1"/>
    <col min="14" max="14" width="9.26953125" bestFit="1" customWidth="1"/>
    <col min="15" max="15" width="5.81640625" bestFit="1" customWidth="1"/>
    <col min="23" max="23" width="12.36328125" bestFit="1" customWidth="1"/>
    <col min="24" max="24" width="15.26953125" bestFit="1" customWidth="1"/>
    <col min="25" max="25" width="9.26953125" bestFit="1" customWidth="1"/>
    <col min="26" max="26" width="6.81640625" bestFit="1" customWidth="1"/>
    <col min="27" max="27" width="7.08984375" bestFit="1" customWidth="1"/>
    <col min="28" max="28" width="9.26953125" bestFit="1" customWidth="1"/>
    <col min="29" max="29" width="7.81640625" bestFit="1" customWidth="1"/>
    <col min="30" max="30" width="8.54296875" bestFit="1" customWidth="1"/>
    <col min="31" max="31" width="9.26953125" bestFit="1" customWidth="1"/>
    <col min="32" max="32" width="7.81640625" bestFit="1" customWidth="1"/>
    <col min="33" max="33" width="22" bestFit="1" customWidth="1"/>
    <col min="34" max="34" width="9.26953125" bestFit="1" customWidth="1"/>
    <col min="35" max="35" width="7.81640625" bestFit="1" customWidth="1"/>
    <col min="36" max="36" width="10.54296875" bestFit="1" customWidth="1"/>
    <col min="37" max="37" width="9.26953125" bestFit="1" customWidth="1"/>
    <col min="38" max="38" width="7.81640625" bestFit="1" customWidth="1"/>
    <col min="39" max="39" width="9.7265625" bestFit="1" customWidth="1"/>
    <col min="40" max="40" width="9.26953125" bestFit="1" customWidth="1"/>
    <col min="41" max="41" width="7.81640625" bestFit="1" customWidth="1"/>
    <col min="42" max="42" width="10.54296875" bestFit="1" customWidth="1"/>
    <col min="43" max="43" width="9.26953125" bestFit="1" customWidth="1"/>
    <col min="44" max="44" width="6.81640625" bestFit="1" customWidth="1"/>
    <col min="45" max="45" width="9.453125" bestFit="1" customWidth="1"/>
    <col min="46" max="46" width="14.08984375" bestFit="1" customWidth="1"/>
    <col min="47" max="47" width="9.81640625" bestFit="1" customWidth="1"/>
    <col min="48" max="55" width="10.26953125" customWidth="1"/>
    <col min="56" max="57" width="9.08984375" customWidth="1"/>
    <col min="59" max="59" width="12.36328125" bestFit="1" customWidth="1"/>
    <col min="60" max="60" width="9.90625" bestFit="1" customWidth="1"/>
    <col min="61" max="61" width="9.26953125" bestFit="1" customWidth="1"/>
    <col min="62" max="62" width="5.81640625" bestFit="1" customWidth="1"/>
    <col min="67" max="67" width="10.453125" bestFit="1" customWidth="1"/>
  </cols>
  <sheetData>
    <row r="1" spans="2:67" x14ac:dyDescent="0.35">
      <c r="B1" s="182" t="s">
        <v>268</v>
      </c>
      <c r="C1" s="182"/>
      <c r="D1" s="182"/>
      <c r="E1" s="182"/>
      <c r="F1" s="182"/>
      <c r="G1" s="182"/>
      <c r="H1" s="182"/>
      <c r="I1" s="182"/>
      <c r="J1" s="37"/>
      <c r="K1" s="37"/>
      <c r="L1" s="181" t="s">
        <v>269</v>
      </c>
      <c r="M1" s="181"/>
      <c r="N1" s="181"/>
      <c r="O1" s="181"/>
      <c r="P1" s="181"/>
      <c r="Q1" s="181"/>
      <c r="R1" s="181"/>
      <c r="S1" s="181"/>
      <c r="T1" s="181"/>
      <c r="U1" s="37"/>
      <c r="V1" s="37"/>
      <c r="W1" s="181" t="s">
        <v>270</v>
      </c>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37"/>
    </row>
    <row r="3" spans="2:67" x14ac:dyDescent="0.35">
      <c r="B3" s="18" t="s">
        <v>40</v>
      </c>
      <c r="C3" t="s" vm="1">
        <v>435</v>
      </c>
      <c r="G3" s="183" t="s">
        <v>206</v>
      </c>
      <c r="H3" s="183"/>
      <c r="I3" s="183"/>
      <c r="L3" s="18" t="s">
        <v>40</v>
      </c>
      <c r="M3" t="s" vm="1">
        <v>435</v>
      </c>
      <c r="Q3" s="36" t="s">
        <v>208</v>
      </c>
      <c r="R3" s="34">
        <f>MAX(M6:M1048576)</f>
        <v>0</v>
      </c>
      <c r="S3" s="34" t="e">
        <f>MATCH(R3,M6:M1048576,0)</f>
        <v>#N/A</v>
      </c>
      <c r="T3" s="34" t="e">
        <f>INDEX(L6:L1048576,S3)</f>
        <v>#N/A</v>
      </c>
      <c r="W3" s="18" t="s">
        <v>40</v>
      </c>
      <c r="X3" t="s" vm="1">
        <v>435</v>
      </c>
    </row>
    <row r="4" spans="2:67" x14ac:dyDescent="0.35">
      <c r="F4" s="41"/>
      <c r="G4" s="41" t="s">
        <v>208</v>
      </c>
      <c r="H4" s="41" t="s">
        <v>210</v>
      </c>
      <c r="I4" s="41" t="s">
        <v>36</v>
      </c>
      <c r="J4" s="10"/>
      <c r="K4" s="41"/>
      <c r="P4" s="41"/>
      <c r="Q4" s="36" t="s">
        <v>210</v>
      </c>
      <c r="R4" s="34">
        <f>MAX(N6:N1048576, 0)</f>
        <v>0</v>
      </c>
      <c r="S4" s="34" t="e">
        <f>MATCH(R4,N6:N1048576,0)</f>
        <v>#N/A</v>
      </c>
      <c r="T4" s="34" t="e">
        <f>INDEX(L6:L1048576,S4)</f>
        <v>#N/A</v>
      </c>
      <c r="BG4" s="18" t="s">
        <v>40</v>
      </c>
      <c r="BH4" t="s" vm="1">
        <v>435</v>
      </c>
    </row>
    <row r="5" spans="2:67" x14ac:dyDescent="0.35">
      <c r="B5" s="18" t="s">
        <v>38</v>
      </c>
      <c r="C5" t="s">
        <v>208</v>
      </c>
      <c r="D5" t="s">
        <v>210</v>
      </c>
      <c r="E5" t="s">
        <v>36</v>
      </c>
      <c r="F5" s="41"/>
      <c r="G5" s="34">
        <f>C6/4</f>
        <v>0</v>
      </c>
      <c r="H5" s="34">
        <f>D6/4</f>
        <v>0</v>
      </c>
      <c r="I5" s="34">
        <f>E6/4</f>
        <v>155658</v>
      </c>
      <c r="J5" s="34"/>
      <c r="K5" s="41"/>
      <c r="L5" s="18" t="s">
        <v>38</v>
      </c>
      <c r="M5" t="s">
        <v>208</v>
      </c>
      <c r="N5" t="s">
        <v>210</v>
      </c>
      <c r="O5" t="s">
        <v>36</v>
      </c>
      <c r="P5" s="41"/>
      <c r="Q5" s="36" t="s">
        <v>36</v>
      </c>
      <c r="R5" s="34">
        <f>MAX(O6:O1048576)</f>
        <v>91388</v>
      </c>
      <c r="S5" s="34">
        <f>MATCH(R5,O6:O1048576,0)</f>
        <v>45</v>
      </c>
      <c r="T5" s="34">
        <f>INDEX(L6:L1048576,S5)</f>
        <v>44209</v>
      </c>
      <c r="V5" s="41"/>
      <c r="X5" s="18" t="s">
        <v>42</v>
      </c>
      <c r="AW5" s="17" t="s">
        <v>208</v>
      </c>
      <c r="AX5" t="s">
        <v>41</v>
      </c>
      <c r="AY5" s="41" t="s">
        <v>1</v>
      </c>
      <c r="AZ5" s="41" t="s">
        <v>226</v>
      </c>
      <c r="BA5" s="41" t="s">
        <v>254</v>
      </c>
      <c r="BB5" s="41" t="s">
        <v>223</v>
      </c>
      <c r="BC5" s="41" t="s">
        <v>224</v>
      </c>
      <c r="BD5" s="44" t="s">
        <v>257</v>
      </c>
      <c r="BE5" s="41" t="s">
        <v>256</v>
      </c>
    </row>
    <row r="6" spans="2:67" x14ac:dyDescent="0.35">
      <c r="B6" s="19">
        <v>1</v>
      </c>
      <c r="C6" s="2"/>
      <c r="D6" s="2"/>
      <c r="E6" s="2">
        <v>622632</v>
      </c>
      <c r="F6" s="34"/>
      <c r="G6" s="34">
        <f>C7/7</f>
        <v>0</v>
      </c>
      <c r="H6" s="34">
        <f t="shared" ref="G6:I8" si="0">D7/7</f>
        <v>0</v>
      </c>
      <c r="I6" s="34">
        <f>E7/7</f>
        <v>89394.142857142855</v>
      </c>
      <c r="J6" s="34"/>
      <c r="K6" s="34"/>
      <c r="L6" s="125">
        <v>44165</v>
      </c>
      <c r="M6" s="2"/>
      <c r="N6" s="2"/>
      <c r="O6" s="2">
        <v>88758</v>
      </c>
      <c r="P6" s="34"/>
      <c r="Q6" s="34"/>
      <c r="R6" s="34"/>
      <c r="S6" s="34"/>
      <c r="V6" s="34"/>
      <c r="X6" t="s">
        <v>291</v>
      </c>
      <c r="AA6" t="s">
        <v>1</v>
      </c>
      <c r="AD6" t="s">
        <v>226</v>
      </c>
      <c r="AG6" t="s">
        <v>258</v>
      </c>
      <c r="AJ6" t="s">
        <v>255</v>
      </c>
      <c r="AM6" t="s">
        <v>223</v>
      </c>
      <c r="AP6" t="s">
        <v>224</v>
      </c>
      <c r="AS6" t="s">
        <v>207</v>
      </c>
      <c r="AT6" t="s">
        <v>209</v>
      </c>
      <c r="AU6" t="s">
        <v>211</v>
      </c>
      <c r="AW6" s="41" t="s">
        <v>43</v>
      </c>
      <c r="AX6" s="34">
        <f>(VLOOKUP(AW6,$W$8:$AU$1048576,23,FALSE))/7</f>
        <v>0</v>
      </c>
      <c r="AY6" s="34">
        <f>(VLOOKUP(AW6,$W$8:$AU$1048576,5,FALSE))/7</f>
        <v>0</v>
      </c>
      <c r="AZ6" s="34">
        <f>(VLOOKUP(AW6,$W$8:$AU$1048576,8,FALSE))/7</f>
        <v>0</v>
      </c>
      <c r="BA6" s="34">
        <f>(VLOOKUP(AW6,$W$8:$AU$1048576,11,FALSE))/7</f>
        <v>0</v>
      </c>
      <c r="BB6" s="34">
        <f>(VLOOKUP(AW6,$W$8:$AU$1048576,17,FALSE))/7</f>
        <v>0</v>
      </c>
      <c r="BC6" s="34">
        <f>(VLOOKUP(AW6,$W$8:$AU$1048576,20,FALSE))/7</f>
        <v>0</v>
      </c>
      <c r="BD6" s="34">
        <f>(VLOOKUP(AW6,$W$8:$AU$1048576,2,FALSE))/7</f>
        <v>0</v>
      </c>
      <c r="BE6" s="34">
        <f>(VLOOKUP(AW6,$W$8:$AU$1048576,14,FALSE))/7</f>
        <v>0</v>
      </c>
      <c r="BG6" s="18" t="s">
        <v>38</v>
      </c>
      <c r="BH6" t="s">
        <v>208</v>
      </c>
      <c r="BI6" t="s">
        <v>210</v>
      </c>
      <c r="BJ6" t="s">
        <v>36</v>
      </c>
      <c r="BL6" s="36" t="s">
        <v>208</v>
      </c>
      <c r="BM6" s="34">
        <f>MAX(BH7:BH1048576)</f>
        <v>0</v>
      </c>
      <c r="BN6" s="34" t="e">
        <f>MATCH(BM6,BH7:BH1048576,0)</f>
        <v>#N/A</v>
      </c>
      <c r="BO6" s="34" t="e">
        <f>INDEX(BG7:BG1048576,BN6)</f>
        <v>#N/A</v>
      </c>
    </row>
    <row r="7" spans="2:67" x14ac:dyDescent="0.35">
      <c r="B7" s="19">
        <v>2</v>
      </c>
      <c r="C7" s="2"/>
      <c r="D7" s="2"/>
      <c r="E7" s="2">
        <v>625759</v>
      </c>
      <c r="F7" s="34"/>
      <c r="G7" s="34">
        <f t="shared" si="0"/>
        <v>0</v>
      </c>
      <c r="H7" s="34">
        <f t="shared" si="0"/>
        <v>0</v>
      </c>
      <c r="I7" s="34">
        <f t="shared" si="0"/>
        <v>89677.571428571435</v>
      </c>
      <c r="J7" s="34"/>
      <c r="K7" s="34"/>
      <c r="L7" s="125">
        <v>44166</v>
      </c>
      <c r="M7" s="2"/>
      <c r="N7" s="2"/>
      <c r="O7" s="2">
        <v>89018</v>
      </c>
      <c r="P7" s="34"/>
      <c r="Q7" s="34"/>
      <c r="R7" s="34"/>
      <c r="S7" s="34"/>
      <c r="V7" s="34"/>
      <c r="W7" s="18" t="s">
        <v>38</v>
      </c>
      <c r="X7" t="s">
        <v>208</v>
      </c>
      <c r="Y7" t="s">
        <v>210</v>
      </c>
      <c r="Z7" t="s">
        <v>36</v>
      </c>
      <c r="AA7" t="s">
        <v>208</v>
      </c>
      <c r="AB7" t="s">
        <v>210</v>
      </c>
      <c r="AC7" t="s">
        <v>36</v>
      </c>
      <c r="AD7" t="s">
        <v>208</v>
      </c>
      <c r="AE7" t="s">
        <v>210</v>
      </c>
      <c r="AF7" t="s">
        <v>36</v>
      </c>
      <c r="AG7" t="s">
        <v>208</v>
      </c>
      <c r="AH7" t="s">
        <v>210</v>
      </c>
      <c r="AI7" t="s">
        <v>36</v>
      </c>
      <c r="AJ7" t="s">
        <v>208</v>
      </c>
      <c r="AK7" t="s">
        <v>210</v>
      </c>
      <c r="AL7" t="s">
        <v>36</v>
      </c>
      <c r="AM7" t="s">
        <v>208</v>
      </c>
      <c r="AN7" t="s">
        <v>210</v>
      </c>
      <c r="AO7" t="s">
        <v>36</v>
      </c>
      <c r="AP7" t="s">
        <v>208</v>
      </c>
      <c r="AQ7" t="s">
        <v>210</v>
      </c>
      <c r="AR7" t="s">
        <v>36</v>
      </c>
      <c r="AW7" s="41" t="s">
        <v>44</v>
      </c>
      <c r="AX7" s="34">
        <f t="shared" ref="AX7:AX18" si="1">(VLOOKUP(AW7,$W$8:$AU$1048576,23,FALSE))/7</f>
        <v>0</v>
      </c>
      <c r="AY7" s="34">
        <f t="shared" ref="AY7:AY18" si="2">(VLOOKUP(AW7,$W$8:$AU$1048576,5,FALSE))/7</f>
        <v>0</v>
      </c>
      <c r="AZ7" s="34">
        <f t="shared" ref="AZ7:AZ18" si="3">(VLOOKUP(AW7,$W$8:$AU$1048576,8,FALSE))/7</f>
        <v>0</v>
      </c>
      <c r="BA7" s="34">
        <f t="shared" ref="BA7:BA18" si="4">(VLOOKUP(AW7,$W$8:$AU$1048576,8,FALSE))/7</f>
        <v>0</v>
      </c>
      <c r="BB7" s="34">
        <f t="shared" ref="BB7:BB18" si="5">(VLOOKUP(AW7,$W$8:$AU$1048576,17,FALSE))/7</f>
        <v>0</v>
      </c>
      <c r="BC7" s="34">
        <f t="shared" ref="BC7:BC18" si="6">(VLOOKUP(AW7,$W$8:$AU$1048576,20,FALSE))/7</f>
        <v>0</v>
      </c>
      <c r="BD7" s="34">
        <f t="shared" ref="BD7:BD17" si="7">(VLOOKUP(AW7,$W$8:$AU$1048576,2,FALSE))/7</f>
        <v>0</v>
      </c>
      <c r="BE7" s="34">
        <f t="shared" ref="BE7:BE18" si="8">(VLOOKUP(AW7,$W$8:$AU$1048576,14,FALSE))/7</f>
        <v>0</v>
      </c>
      <c r="BG7" s="125">
        <v>44165</v>
      </c>
      <c r="BH7" s="2"/>
      <c r="BI7" s="2"/>
      <c r="BJ7" s="2">
        <v>88758</v>
      </c>
      <c r="BL7" s="36" t="s">
        <v>210</v>
      </c>
      <c r="BM7" s="34">
        <f>MAX(BI7:BI1048576,0)</f>
        <v>0</v>
      </c>
      <c r="BN7" s="34" t="e">
        <f>MATCH(BM7,BI7:BI1048576,0)</f>
        <v>#N/A</v>
      </c>
      <c r="BO7" s="34" t="e">
        <f>INDEX(BG7:BG1048576,BN7)</f>
        <v>#N/A</v>
      </c>
    </row>
    <row r="8" spans="2:67" x14ac:dyDescent="0.35">
      <c r="B8" s="19">
        <v>3</v>
      </c>
      <c r="C8" s="2"/>
      <c r="D8" s="2"/>
      <c r="E8" s="2">
        <v>627743</v>
      </c>
      <c r="F8" s="34"/>
      <c r="G8" s="34">
        <f t="shared" si="0"/>
        <v>0</v>
      </c>
      <c r="H8" s="34">
        <f t="shared" si="0"/>
        <v>0</v>
      </c>
      <c r="I8" s="34">
        <f t="shared" si="0"/>
        <v>88347.428571428565</v>
      </c>
      <c r="J8" s="34"/>
      <c r="K8" s="34"/>
      <c r="L8" s="125">
        <v>44167</v>
      </c>
      <c r="M8" s="2"/>
      <c r="N8" s="2"/>
      <c r="O8" s="2">
        <v>89022</v>
      </c>
      <c r="P8" s="34"/>
      <c r="Q8" s="34"/>
      <c r="R8" s="34"/>
      <c r="S8" s="34"/>
      <c r="V8" s="34"/>
      <c r="W8" s="19" t="s">
        <v>43</v>
      </c>
      <c r="X8" s="2"/>
      <c r="Y8" s="2"/>
      <c r="Z8" s="2">
        <v>66751</v>
      </c>
      <c r="AA8" s="2"/>
      <c r="AB8" s="2"/>
      <c r="AC8" s="2">
        <v>87601</v>
      </c>
      <c r="AD8" s="2"/>
      <c r="AE8" s="2"/>
      <c r="AF8" s="2">
        <v>119941</v>
      </c>
      <c r="AG8" s="2"/>
      <c r="AH8" s="2"/>
      <c r="AI8" s="2">
        <v>108056</v>
      </c>
      <c r="AJ8" s="2"/>
      <c r="AK8" s="2"/>
      <c r="AL8" s="2">
        <v>91741</v>
      </c>
      <c r="AM8" s="2"/>
      <c r="AN8" s="2"/>
      <c r="AO8" s="2">
        <v>85746</v>
      </c>
      <c r="AP8" s="2"/>
      <c r="AQ8" s="2"/>
      <c r="AR8" s="2">
        <v>62796</v>
      </c>
      <c r="AS8" s="2"/>
      <c r="AT8" s="2"/>
      <c r="AU8" s="2">
        <v>622632</v>
      </c>
      <c r="AV8" s="2"/>
      <c r="AW8" s="41" t="s">
        <v>45</v>
      </c>
      <c r="AX8" s="34">
        <f t="shared" si="1"/>
        <v>0</v>
      </c>
      <c r="AY8" s="34">
        <f t="shared" si="2"/>
        <v>0</v>
      </c>
      <c r="AZ8" s="34">
        <f t="shared" si="3"/>
        <v>0</v>
      </c>
      <c r="BA8" s="34">
        <f t="shared" si="4"/>
        <v>0</v>
      </c>
      <c r="BB8" s="34">
        <f t="shared" si="5"/>
        <v>0</v>
      </c>
      <c r="BC8" s="34">
        <f t="shared" si="6"/>
        <v>0</v>
      </c>
      <c r="BD8" s="34">
        <f t="shared" si="7"/>
        <v>0</v>
      </c>
      <c r="BE8" s="34">
        <f t="shared" si="8"/>
        <v>0</v>
      </c>
      <c r="BG8" s="125">
        <v>44166</v>
      </c>
      <c r="BH8" s="2"/>
      <c r="BI8" s="2"/>
      <c r="BJ8" s="2">
        <v>89018</v>
      </c>
      <c r="BL8" s="36" t="s">
        <v>36</v>
      </c>
      <c r="BM8" s="34">
        <f>MAX(BJ7:BJ1048576)</f>
        <v>91388</v>
      </c>
      <c r="BN8" s="34">
        <f>MATCH(BM8,BJ7:BJ1048576,0)</f>
        <v>45</v>
      </c>
      <c r="BO8" s="155">
        <f>INDEX(BG7:BG1048576,BN8)</f>
        <v>44209</v>
      </c>
    </row>
    <row r="9" spans="2:67" x14ac:dyDescent="0.35">
      <c r="B9" s="19">
        <v>4</v>
      </c>
      <c r="C9" s="2"/>
      <c r="D9" s="2"/>
      <c r="E9" s="2">
        <v>618432</v>
      </c>
      <c r="F9" s="34"/>
      <c r="G9" s="34">
        <f t="shared" ref="G9:G18" si="9">C10/7</f>
        <v>0</v>
      </c>
      <c r="H9" s="34">
        <f>D10/7</f>
        <v>0</v>
      </c>
      <c r="I9" s="34">
        <f t="shared" ref="I9:I18" si="10">E10/7</f>
        <v>89398.857142857145</v>
      </c>
      <c r="J9" s="34"/>
      <c r="K9" s="34"/>
      <c r="L9" s="125">
        <v>44168</v>
      </c>
      <c r="M9" s="2"/>
      <c r="N9" s="2"/>
      <c r="O9" s="2">
        <v>89124</v>
      </c>
      <c r="P9" s="34"/>
      <c r="Q9" s="34"/>
      <c r="R9" s="34"/>
      <c r="S9" s="34"/>
      <c r="V9" s="34"/>
      <c r="W9" s="19" t="s">
        <v>52</v>
      </c>
      <c r="X9" s="2"/>
      <c r="Y9" s="2"/>
      <c r="Z9" s="2">
        <v>67220</v>
      </c>
      <c r="AA9" s="2"/>
      <c r="AB9" s="2"/>
      <c r="AC9" s="2">
        <v>87226</v>
      </c>
      <c r="AD9" s="2"/>
      <c r="AE9" s="2"/>
      <c r="AF9" s="2">
        <v>123078</v>
      </c>
      <c r="AG9" s="2"/>
      <c r="AH9" s="2"/>
      <c r="AI9" s="2">
        <v>110547</v>
      </c>
      <c r="AJ9" s="2"/>
      <c r="AK9" s="2"/>
      <c r="AL9" s="2">
        <v>95910</v>
      </c>
      <c r="AM9" s="2"/>
      <c r="AN9" s="2"/>
      <c r="AO9" s="2">
        <v>86074</v>
      </c>
      <c r="AP9" s="2"/>
      <c r="AQ9" s="2"/>
      <c r="AR9" s="2">
        <v>63718</v>
      </c>
      <c r="AS9" s="2"/>
      <c r="AT9" s="2"/>
      <c r="AU9" s="2">
        <v>633773</v>
      </c>
      <c r="AV9" s="2"/>
      <c r="AW9" s="41" t="s">
        <v>46</v>
      </c>
      <c r="AX9" s="34">
        <f t="shared" si="1"/>
        <v>0</v>
      </c>
      <c r="AY9" s="34">
        <f t="shared" si="2"/>
        <v>0</v>
      </c>
      <c r="AZ9" s="34">
        <f t="shared" si="3"/>
        <v>0</v>
      </c>
      <c r="BA9" s="34">
        <f t="shared" si="4"/>
        <v>0</v>
      </c>
      <c r="BB9" s="34">
        <f t="shared" si="5"/>
        <v>0</v>
      </c>
      <c r="BC9" s="34">
        <f t="shared" si="6"/>
        <v>0</v>
      </c>
      <c r="BD9" s="34">
        <f t="shared" si="7"/>
        <v>0</v>
      </c>
      <c r="BE9" s="34">
        <f t="shared" si="8"/>
        <v>0</v>
      </c>
      <c r="BG9" s="125">
        <v>44167</v>
      </c>
      <c r="BH9" s="2"/>
      <c r="BI9" s="2"/>
      <c r="BJ9" s="2">
        <v>89022</v>
      </c>
    </row>
    <row r="10" spans="2:67" x14ac:dyDescent="0.35">
      <c r="B10" s="19">
        <v>5</v>
      </c>
      <c r="C10" s="2"/>
      <c r="D10" s="2"/>
      <c r="E10" s="2">
        <v>625792</v>
      </c>
      <c r="F10" s="34"/>
      <c r="G10" s="34">
        <f t="shared" si="9"/>
        <v>0</v>
      </c>
      <c r="H10" s="34">
        <f>D11/7</f>
        <v>0</v>
      </c>
      <c r="I10" s="34">
        <f t="shared" si="10"/>
        <v>90884.571428571435</v>
      </c>
      <c r="J10" s="34"/>
      <c r="K10" s="34"/>
      <c r="L10" s="125">
        <v>44169</v>
      </c>
      <c r="M10" s="2"/>
      <c r="N10" s="2"/>
      <c r="O10" s="2">
        <v>89193</v>
      </c>
      <c r="P10" s="34"/>
      <c r="Q10" s="34"/>
      <c r="R10" s="34"/>
      <c r="S10" s="34"/>
      <c r="V10" s="34"/>
      <c r="W10" s="19" t="s">
        <v>53</v>
      </c>
      <c r="X10" s="2"/>
      <c r="Y10" s="2"/>
      <c r="Z10" s="2">
        <v>66962</v>
      </c>
      <c r="AA10" s="2"/>
      <c r="AB10" s="2"/>
      <c r="AC10" s="2">
        <v>85418</v>
      </c>
      <c r="AD10" s="2"/>
      <c r="AE10" s="2"/>
      <c r="AF10" s="2">
        <v>122172</v>
      </c>
      <c r="AG10" s="2"/>
      <c r="AH10" s="2"/>
      <c r="AI10" s="2">
        <v>109699</v>
      </c>
      <c r="AJ10" s="2"/>
      <c r="AK10" s="2"/>
      <c r="AL10" s="2">
        <v>95468</v>
      </c>
      <c r="AM10" s="2"/>
      <c r="AN10" s="2"/>
      <c r="AO10" s="2">
        <v>85031</v>
      </c>
      <c r="AP10" s="2"/>
      <c r="AQ10" s="2"/>
      <c r="AR10" s="2">
        <v>63931</v>
      </c>
      <c r="AS10" s="2"/>
      <c r="AT10" s="2"/>
      <c r="AU10" s="2">
        <v>628681</v>
      </c>
      <c r="AV10" s="34"/>
      <c r="AW10" s="20" t="s">
        <v>47</v>
      </c>
      <c r="AX10" s="34">
        <f t="shared" si="1"/>
        <v>0</v>
      </c>
      <c r="AY10" s="34">
        <f t="shared" si="2"/>
        <v>0</v>
      </c>
      <c r="AZ10" s="34">
        <f t="shared" si="3"/>
        <v>0</v>
      </c>
      <c r="BA10" s="34">
        <f t="shared" si="4"/>
        <v>0</v>
      </c>
      <c r="BB10" s="34">
        <f t="shared" si="5"/>
        <v>0</v>
      </c>
      <c r="BC10" s="34">
        <f t="shared" si="6"/>
        <v>0</v>
      </c>
      <c r="BD10" s="34">
        <f t="shared" si="7"/>
        <v>0</v>
      </c>
      <c r="BE10" s="34">
        <f t="shared" si="8"/>
        <v>0</v>
      </c>
      <c r="BG10" s="125">
        <v>44168</v>
      </c>
      <c r="BH10" s="2"/>
      <c r="BI10" s="2"/>
      <c r="BJ10" s="2">
        <v>89124</v>
      </c>
    </row>
    <row r="11" spans="2:67" x14ac:dyDescent="0.35">
      <c r="B11" s="19">
        <v>6</v>
      </c>
      <c r="C11" s="2"/>
      <c r="D11" s="2"/>
      <c r="E11" s="2">
        <v>636192</v>
      </c>
      <c r="F11" s="34"/>
      <c r="G11" s="34">
        <f t="shared" si="9"/>
        <v>0</v>
      </c>
      <c r="H11" s="34">
        <f t="shared" ref="H11:H18" si="11">D12/7</f>
        <v>0</v>
      </c>
      <c r="I11" s="34">
        <f t="shared" si="10"/>
        <v>90895.428571428565</v>
      </c>
      <c r="J11" s="34"/>
      <c r="K11" s="34"/>
      <c r="L11" s="125">
        <v>44170</v>
      </c>
      <c r="M11" s="2"/>
      <c r="N11" s="2"/>
      <c r="O11" s="2">
        <v>88706</v>
      </c>
      <c r="P11" s="34"/>
      <c r="Q11" s="34"/>
      <c r="R11" s="34"/>
      <c r="S11" s="34"/>
      <c r="V11" s="34"/>
      <c r="W11" s="19" t="s">
        <v>54</v>
      </c>
      <c r="X11" s="2"/>
      <c r="Y11" s="2"/>
      <c r="Z11" s="2">
        <v>66851</v>
      </c>
      <c r="AA11" s="2"/>
      <c r="AB11" s="2"/>
      <c r="AC11" s="2">
        <v>85327</v>
      </c>
      <c r="AD11" s="2"/>
      <c r="AE11" s="2"/>
      <c r="AF11" s="2">
        <v>121337</v>
      </c>
      <c r="AG11" s="2"/>
      <c r="AH11" s="2"/>
      <c r="AI11" s="2">
        <v>109398</v>
      </c>
      <c r="AJ11" s="2"/>
      <c r="AK11" s="2"/>
      <c r="AL11" s="2">
        <v>94860</v>
      </c>
      <c r="AM11" s="2"/>
      <c r="AN11" s="2"/>
      <c r="AO11" s="2">
        <v>84444</v>
      </c>
      <c r="AP11" s="2"/>
      <c r="AQ11" s="2"/>
      <c r="AR11" s="2">
        <v>63986</v>
      </c>
      <c r="AS11" s="2"/>
      <c r="AT11" s="2"/>
      <c r="AU11" s="2">
        <v>626203</v>
      </c>
      <c r="AV11" s="34"/>
      <c r="AW11" s="20" t="s">
        <v>48</v>
      </c>
      <c r="AX11" s="34">
        <f t="shared" si="1"/>
        <v>0</v>
      </c>
      <c r="AY11" s="34">
        <f t="shared" si="2"/>
        <v>0</v>
      </c>
      <c r="AZ11" s="34">
        <f t="shared" si="3"/>
        <v>0</v>
      </c>
      <c r="BA11" s="34">
        <f t="shared" si="4"/>
        <v>0</v>
      </c>
      <c r="BB11" s="34">
        <f t="shared" si="5"/>
        <v>0</v>
      </c>
      <c r="BC11" s="34">
        <f t="shared" si="6"/>
        <v>0</v>
      </c>
      <c r="BD11" s="34">
        <f t="shared" si="7"/>
        <v>0</v>
      </c>
      <c r="BE11" s="34">
        <f t="shared" si="8"/>
        <v>0</v>
      </c>
      <c r="BG11" s="125">
        <v>44169</v>
      </c>
      <c r="BH11" s="2"/>
      <c r="BI11" s="2"/>
      <c r="BJ11" s="2">
        <v>89193</v>
      </c>
    </row>
    <row r="12" spans="2:67" x14ac:dyDescent="0.35">
      <c r="B12" s="19">
        <v>7</v>
      </c>
      <c r="C12" s="2"/>
      <c r="D12" s="2"/>
      <c r="E12" s="2">
        <v>636268</v>
      </c>
      <c r="F12" s="34"/>
      <c r="G12" s="34">
        <f t="shared" si="9"/>
        <v>0</v>
      </c>
      <c r="H12" s="34">
        <f>D13/7</f>
        <v>0</v>
      </c>
      <c r="I12" s="34">
        <f t="shared" si="10"/>
        <v>90505.571428571435</v>
      </c>
      <c r="J12" s="34"/>
      <c r="K12" s="34"/>
      <c r="L12" s="125">
        <v>44171</v>
      </c>
      <c r="M12" s="2"/>
      <c r="N12" s="2"/>
      <c r="O12" s="2">
        <v>88811</v>
      </c>
      <c r="P12" s="34"/>
      <c r="Q12" s="34"/>
      <c r="R12" s="34"/>
      <c r="S12" s="34"/>
      <c r="V12" s="34"/>
      <c r="W12" s="19" t="s">
        <v>55</v>
      </c>
      <c r="X12" s="2"/>
      <c r="Y12" s="2"/>
      <c r="Z12" s="2">
        <v>66857</v>
      </c>
      <c r="AA12" s="2"/>
      <c r="AB12" s="2"/>
      <c r="AC12" s="2">
        <v>85509</v>
      </c>
      <c r="AD12" s="2"/>
      <c r="AE12" s="2"/>
      <c r="AF12" s="2">
        <v>121155</v>
      </c>
      <c r="AG12" s="2"/>
      <c r="AH12" s="2"/>
      <c r="AI12" s="2">
        <v>109732</v>
      </c>
      <c r="AJ12" s="2"/>
      <c r="AK12" s="2"/>
      <c r="AL12" s="2">
        <v>95502</v>
      </c>
      <c r="AM12" s="2"/>
      <c r="AN12" s="2"/>
      <c r="AO12" s="2">
        <v>84620</v>
      </c>
      <c r="AP12" s="2"/>
      <c r="AQ12" s="2"/>
      <c r="AR12" s="2">
        <v>63959</v>
      </c>
      <c r="AS12" s="2"/>
      <c r="AT12" s="2"/>
      <c r="AU12" s="2">
        <v>627334</v>
      </c>
      <c r="AV12" s="34"/>
      <c r="AW12" s="20" t="s">
        <v>49</v>
      </c>
      <c r="AX12" s="34">
        <f t="shared" si="1"/>
        <v>0</v>
      </c>
      <c r="AY12" s="34">
        <f t="shared" si="2"/>
        <v>0</v>
      </c>
      <c r="AZ12" s="34">
        <f t="shared" si="3"/>
        <v>0</v>
      </c>
      <c r="BA12" s="34">
        <f t="shared" si="4"/>
        <v>0</v>
      </c>
      <c r="BB12" s="34">
        <f t="shared" si="5"/>
        <v>0</v>
      </c>
      <c r="BC12" s="34">
        <f t="shared" si="6"/>
        <v>0</v>
      </c>
      <c r="BD12" s="34">
        <f t="shared" si="7"/>
        <v>0</v>
      </c>
      <c r="BE12" s="34">
        <f t="shared" si="8"/>
        <v>0</v>
      </c>
      <c r="BG12" s="125">
        <v>44170</v>
      </c>
      <c r="BH12" s="2"/>
      <c r="BI12" s="2"/>
      <c r="BJ12" s="2">
        <v>88706</v>
      </c>
    </row>
    <row r="13" spans="2:67" x14ac:dyDescent="0.35">
      <c r="B13" s="19">
        <v>8</v>
      </c>
      <c r="C13" s="2"/>
      <c r="D13" s="2"/>
      <c r="E13" s="2">
        <v>633539</v>
      </c>
      <c r="F13" s="34"/>
      <c r="G13" s="34">
        <f t="shared" si="9"/>
        <v>0</v>
      </c>
      <c r="H13" s="34">
        <f t="shared" si="11"/>
        <v>0</v>
      </c>
      <c r="I13" s="34">
        <f t="shared" si="10"/>
        <v>90643.142857142855</v>
      </c>
      <c r="J13" s="34"/>
      <c r="K13" s="34"/>
      <c r="L13" s="125">
        <v>44172</v>
      </c>
      <c r="M13" s="2"/>
      <c r="N13" s="2"/>
      <c r="O13" s="2">
        <v>89161</v>
      </c>
      <c r="P13" s="34"/>
      <c r="Q13" s="34"/>
      <c r="R13" s="34"/>
      <c r="S13" s="34"/>
      <c r="V13" s="34"/>
      <c r="W13" s="19" t="s">
        <v>44</v>
      </c>
      <c r="X13" s="2"/>
      <c r="Y13" s="2"/>
      <c r="Z13" s="2">
        <v>67418</v>
      </c>
      <c r="AA13" s="2"/>
      <c r="AB13" s="2"/>
      <c r="AC13" s="2">
        <v>88508</v>
      </c>
      <c r="AD13" s="2"/>
      <c r="AE13" s="2"/>
      <c r="AF13" s="2">
        <v>120231</v>
      </c>
      <c r="AG13" s="2"/>
      <c r="AH13" s="2"/>
      <c r="AI13" s="2">
        <v>108502</v>
      </c>
      <c r="AJ13" s="2"/>
      <c r="AK13" s="2"/>
      <c r="AL13" s="2">
        <v>92056</v>
      </c>
      <c r="AM13" s="2"/>
      <c r="AN13" s="2"/>
      <c r="AO13" s="2">
        <v>85568</v>
      </c>
      <c r="AP13" s="2"/>
      <c r="AQ13" s="2"/>
      <c r="AR13" s="2">
        <v>63476</v>
      </c>
      <c r="AS13" s="2"/>
      <c r="AT13" s="2"/>
      <c r="AU13" s="2">
        <v>625759</v>
      </c>
      <c r="AV13" s="34"/>
      <c r="AW13" s="20" t="s">
        <v>50</v>
      </c>
      <c r="AX13" s="34">
        <f t="shared" si="1"/>
        <v>0</v>
      </c>
      <c r="AY13" s="34">
        <f t="shared" si="2"/>
        <v>0</v>
      </c>
      <c r="AZ13" s="34">
        <f t="shared" si="3"/>
        <v>0</v>
      </c>
      <c r="BA13" s="34">
        <f t="shared" si="4"/>
        <v>0</v>
      </c>
      <c r="BB13" s="34">
        <f t="shared" si="5"/>
        <v>0</v>
      </c>
      <c r="BC13" s="34">
        <f t="shared" si="6"/>
        <v>0</v>
      </c>
      <c r="BD13" s="34">
        <f t="shared" si="7"/>
        <v>0</v>
      </c>
      <c r="BE13" s="34">
        <f t="shared" si="8"/>
        <v>0</v>
      </c>
      <c r="BG13" s="125">
        <v>44171</v>
      </c>
      <c r="BH13" s="2"/>
      <c r="BI13" s="2"/>
      <c r="BJ13" s="2">
        <v>88811</v>
      </c>
    </row>
    <row r="14" spans="2:67" x14ac:dyDescent="0.35">
      <c r="B14" s="19">
        <v>9</v>
      </c>
      <c r="C14" s="2"/>
      <c r="D14" s="2"/>
      <c r="E14" s="2">
        <v>634502</v>
      </c>
      <c r="F14" s="34"/>
      <c r="G14" s="34">
        <f t="shared" si="9"/>
        <v>0</v>
      </c>
      <c r="H14" s="34">
        <f t="shared" si="11"/>
        <v>0</v>
      </c>
      <c r="I14" s="34">
        <f t="shared" si="10"/>
        <v>90539</v>
      </c>
      <c r="J14" s="34"/>
      <c r="K14" s="34"/>
      <c r="L14" s="125">
        <v>44173</v>
      </c>
      <c r="M14" s="2"/>
      <c r="N14" s="2"/>
      <c r="O14" s="2">
        <v>89721</v>
      </c>
      <c r="P14" s="34"/>
      <c r="Q14" s="34"/>
      <c r="R14" s="34"/>
      <c r="S14" s="34"/>
      <c r="V14" s="34"/>
      <c r="W14" s="19" t="s">
        <v>45</v>
      </c>
      <c r="X14" s="2"/>
      <c r="Y14" s="2"/>
      <c r="Z14" s="2">
        <v>68372</v>
      </c>
      <c r="AA14" s="2"/>
      <c r="AB14" s="2"/>
      <c r="AC14" s="2">
        <v>88903</v>
      </c>
      <c r="AD14" s="2"/>
      <c r="AE14" s="2"/>
      <c r="AF14" s="2">
        <v>120308</v>
      </c>
      <c r="AG14" s="2"/>
      <c r="AH14" s="2"/>
      <c r="AI14" s="2">
        <v>108733</v>
      </c>
      <c r="AJ14" s="2"/>
      <c r="AK14" s="2"/>
      <c r="AL14" s="2">
        <v>92034</v>
      </c>
      <c r="AM14" s="2"/>
      <c r="AN14" s="2"/>
      <c r="AO14" s="2">
        <v>85930</v>
      </c>
      <c r="AP14" s="2"/>
      <c r="AQ14" s="2"/>
      <c r="AR14" s="2">
        <v>63463</v>
      </c>
      <c r="AS14" s="2"/>
      <c r="AT14" s="2"/>
      <c r="AU14" s="2">
        <v>627743</v>
      </c>
      <c r="AV14" s="34"/>
      <c r="AW14" s="20" t="s">
        <v>51</v>
      </c>
      <c r="AX14" s="34">
        <f t="shared" si="1"/>
        <v>0</v>
      </c>
      <c r="AY14" s="34">
        <f>(VLOOKUP(AW14,$W$8:$AU$1048576,5,FALSE))/7</f>
        <v>0</v>
      </c>
      <c r="AZ14" s="34">
        <f t="shared" si="3"/>
        <v>0</v>
      </c>
      <c r="BA14" s="34">
        <f t="shared" si="4"/>
        <v>0</v>
      </c>
      <c r="BB14" s="34">
        <f t="shared" si="5"/>
        <v>0</v>
      </c>
      <c r="BC14" s="34">
        <f t="shared" si="6"/>
        <v>0</v>
      </c>
      <c r="BD14" s="34">
        <f t="shared" si="7"/>
        <v>0</v>
      </c>
      <c r="BE14" s="34">
        <f t="shared" si="8"/>
        <v>0</v>
      </c>
      <c r="BG14" s="125">
        <v>44172</v>
      </c>
      <c r="BH14" s="2"/>
      <c r="BI14" s="2"/>
      <c r="BJ14" s="2">
        <v>89161</v>
      </c>
    </row>
    <row r="15" spans="2:67" x14ac:dyDescent="0.35">
      <c r="B15" s="19">
        <v>10</v>
      </c>
      <c r="C15" s="2"/>
      <c r="D15" s="2"/>
      <c r="E15" s="2">
        <v>633773</v>
      </c>
      <c r="F15" s="34"/>
      <c r="G15" s="34">
        <f t="shared" si="9"/>
        <v>0</v>
      </c>
      <c r="H15" s="34">
        <f t="shared" si="11"/>
        <v>0</v>
      </c>
      <c r="I15" s="34">
        <f t="shared" si="10"/>
        <v>89811.571428571435</v>
      </c>
      <c r="J15" s="34"/>
      <c r="K15" s="34"/>
      <c r="L15" s="125">
        <v>44174</v>
      </c>
      <c r="M15" s="2"/>
      <c r="N15" s="2"/>
      <c r="O15" s="2">
        <v>89638</v>
      </c>
      <c r="P15" s="34"/>
      <c r="Q15" s="34"/>
      <c r="R15" s="34"/>
      <c r="S15" s="34"/>
      <c r="V15" s="34"/>
      <c r="W15" s="19" t="s">
        <v>46</v>
      </c>
      <c r="X15" s="2"/>
      <c r="Y15" s="2"/>
      <c r="Z15" s="2">
        <v>66999</v>
      </c>
      <c r="AA15" s="2"/>
      <c r="AB15" s="2"/>
      <c r="AC15" s="2">
        <v>87733</v>
      </c>
      <c r="AD15" s="2"/>
      <c r="AE15" s="2"/>
      <c r="AF15" s="2">
        <v>119760</v>
      </c>
      <c r="AG15" s="2"/>
      <c r="AH15" s="2"/>
      <c r="AI15" s="2">
        <v>107337</v>
      </c>
      <c r="AJ15" s="2"/>
      <c r="AK15" s="2"/>
      <c r="AL15" s="2">
        <v>90230</v>
      </c>
      <c r="AM15" s="2"/>
      <c r="AN15" s="2"/>
      <c r="AO15" s="2">
        <v>84454</v>
      </c>
      <c r="AP15" s="2"/>
      <c r="AQ15" s="2"/>
      <c r="AR15" s="2">
        <v>61919</v>
      </c>
      <c r="AS15" s="2"/>
      <c r="AT15" s="2"/>
      <c r="AU15" s="2">
        <v>618432</v>
      </c>
      <c r="AV15" s="34"/>
      <c r="AW15" s="20" t="s">
        <v>52</v>
      </c>
      <c r="AX15" s="34">
        <f t="shared" si="1"/>
        <v>0</v>
      </c>
      <c r="AY15" s="34">
        <f t="shared" si="2"/>
        <v>0</v>
      </c>
      <c r="AZ15" s="34">
        <f t="shared" si="3"/>
        <v>0</v>
      </c>
      <c r="BA15" s="34">
        <f t="shared" si="4"/>
        <v>0</v>
      </c>
      <c r="BB15" s="34">
        <f t="shared" si="5"/>
        <v>0</v>
      </c>
      <c r="BC15" s="34">
        <f t="shared" si="6"/>
        <v>0</v>
      </c>
      <c r="BD15" s="34">
        <f t="shared" si="7"/>
        <v>0</v>
      </c>
      <c r="BE15" s="34">
        <f t="shared" si="8"/>
        <v>0</v>
      </c>
      <c r="BG15" s="125">
        <v>44173</v>
      </c>
      <c r="BH15" s="2"/>
      <c r="BI15" s="2"/>
      <c r="BJ15" s="2">
        <v>89721</v>
      </c>
    </row>
    <row r="16" spans="2:67" x14ac:dyDescent="0.35">
      <c r="B16" s="19">
        <v>11</v>
      </c>
      <c r="C16" s="2"/>
      <c r="D16" s="2"/>
      <c r="E16" s="2">
        <v>628681</v>
      </c>
      <c r="F16" s="34"/>
      <c r="G16" s="34">
        <f t="shared" si="9"/>
        <v>0</v>
      </c>
      <c r="H16" s="34">
        <f t="shared" si="11"/>
        <v>0</v>
      </c>
      <c r="I16" s="34">
        <f t="shared" si="10"/>
        <v>89457.571428571435</v>
      </c>
      <c r="J16" s="34"/>
      <c r="K16" s="34"/>
      <c r="L16" s="125">
        <v>44175</v>
      </c>
      <c r="M16" s="2"/>
      <c r="N16" s="2"/>
      <c r="O16" s="2">
        <v>89546</v>
      </c>
      <c r="P16" s="34"/>
      <c r="Q16" s="34"/>
      <c r="R16" s="34"/>
      <c r="S16" s="34"/>
      <c r="V16" s="34"/>
      <c r="W16" s="19" t="s">
        <v>47</v>
      </c>
      <c r="X16" s="2"/>
      <c r="Y16" s="2"/>
      <c r="Z16" s="2">
        <v>67975</v>
      </c>
      <c r="AA16" s="2"/>
      <c r="AB16" s="2"/>
      <c r="AC16" s="2">
        <v>88675</v>
      </c>
      <c r="AD16" s="2"/>
      <c r="AE16" s="2"/>
      <c r="AF16" s="2">
        <v>120780</v>
      </c>
      <c r="AG16" s="2"/>
      <c r="AH16" s="2"/>
      <c r="AI16" s="2">
        <v>107802</v>
      </c>
      <c r="AJ16" s="2"/>
      <c r="AK16" s="2"/>
      <c r="AL16" s="2">
        <v>91554</v>
      </c>
      <c r="AM16" s="2"/>
      <c r="AN16" s="2"/>
      <c r="AO16" s="2">
        <v>86129</v>
      </c>
      <c r="AP16" s="2"/>
      <c r="AQ16" s="2"/>
      <c r="AR16" s="2">
        <v>62877</v>
      </c>
      <c r="AS16" s="2"/>
      <c r="AT16" s="2"/>
      <c r="AU16" s="2">
        <v>625792</v>
      </c>
      <c r="AV16" s="34"/>
      <c r="AW16" s="20" t="s">
        <v>53</v>
      </c>
      <c r="AX16" s="34">
        <f t="shared" si="1"/>
        <v>0</v>
      </c>
      <c r="AY16" s="34">
        <f t="shared" si="2"/>
        <v>0</v>
      </c>
      <c r="AZ16" s="34">
        <f t="shared" si="3"/>
        <v>0</v>
      </c>
      <c r="BA16" s="34">
        <f t="shared" si="4"/>
        <v>0</v>
      </c>
      <c r="BB16" s="34">
        <f t="shared" si="5"/>
        <v>0</v>
      </c>
      <c r="BC16" s="34">
        <f t="shared" si="6"/>
        <v>0</v>
      </c>
      <c r="BD16" s="34">
        <f t="shared" si="7"/>
        <v>0</v>
      </c>
      <c r="BE16" s="34">
        <f t="shared" si="8"/>
        <v>0</v>
      </c>
      <c r="BG16" s="125">
        <v>44174</v>
      </c>
      <c r="BH16" s="2"/>
      <c r="BI16" s="2"/>
      <c r="BJ16" s="2">
        <v>89638</v>
      </c>
    </row>
    <row r="17" spans="2:62" x14ac:dyDescent="0.35">
      <c r="B17" s="19">
        <v>12</v>
      </c>
      <c r="C17" s="2"/>
      <c r="D17" s="2"/>
      <c r="E17" s="2">
        <v>626203</v>
      </c>
      <c r="F17" s="34"/>
      <c r="G17" s="34">
        <f t="shared" si="9"/>
        <v>0</v>
      </c>
      <c r="H17" s="34">
        <f t="shared" si="11"/>
        <v>0</v>
      </c>
      <c r="I17" s="34">
        <f t="shared" si="10"/>
        <v>89619.142857142855</v>
      </c>
      <c r="J17" s="34"/>
      <c r="K17" s="34"/>
      <c r="L17" s="125">
        <v>44176</v>
      </c>
      <c r="M17" s="2"/>
      <c r="N17" s="2"/>
      <c r="O17" s="2">
        <v>89388</v>
      </c>
      <c r="P17" s="34"/>
      <c r="Q17" s="34"/>
      <c r="R17" s="34"/>
      <c r="S17" s="34"/>
      <c r="V17" s="34"/>
      <c r="W17" s="19" t="s">
        <v>48</v>
      </c>
      <c r="X17" s="2"/>
      <c r="Y17" s="2"/>
      <c r="Z17" s="2">
        <v>68166</v>
      </c>
      <c r="AA17" s="2"/>
      <c r="AB17" s="2"/>
      <c r="AC17" s="2">
        <v>90776</v>
      </c>
      <c r="AD17" s="2"/>
      <c r="AE17" s="2"/>
      <c r="AF17" s="2">
        <v>122763</v>
      </c>
      <c r="AG17" s="2"/>
      <c r="AH17" s="2"/>
      <c r="AI17" s="2">
        <v>109774</v>
      </c>
      <c r="AJ17" s="2"/>
      <c r="AK17" s="2"/>
      <c r="AL17" s="2">
        <v>92840</v>
      </c>
      <c r="AM17" s="2"/>
      <c r="AN17" s="2"/>
      <c r="AO17" s="2">
        <v>87897</v>
      </c>
      <c r="AP17" s="2"/>
      <c r="AQ17" s="2"/>
      <c r="AR17" s="2">
        <v>63976</v>
      </c>
      <c r="AS17" s="2"/>
      <c r="AT17" s="2"/>
      <c r="AU17" s="2">
        <v>636192</v>
      </c>
      <c r="AV17" s="34"/>
      <c r="AW17" s="20" t="s">
        <v>54</v>
      </c>
      <c r="AX17" s="34">
        <f t="shared" si="1"/>
        <v>0</v>
      </c>
      <c r="AY17" s="34">
        <f t="shared" si="2"/>
        <v>0</v>
      </c>
      <c r="AZ17" s="34">
        <f t="shared" si="3"/>
        <v>0</v>
      </c>
      <c r="BA17" s="34">
        <f t="shared" si="4"/>
        <v>0</v>
      </c>
      <c r="BB17" s="34">
        <f t="shared" si="5"/>
        <v>0</v>
      </c>
      <c r="BC17" s="34">
        <f t="shared" si="6"/>
        <v>0</v>
      </c>
      <c r="BD17" s="34">
        <f t="shared" si="7"/>
        <v>0</v>
      </c>
      <c r="BE17" s="34">
        <f t="shared" si="8"/>
        <v>0</v>
      </c>
      <c r="BG17" s="125">
        <v>44175</v>
      </c>
      <c r="BH17" s="2"/>
      <c r="BI17" s="2"/>
      <c r="BJ17" s="2">
        <v>89546</v>
      </c>
    </row>
    <row r="18" spans="2:62" x14ac:dyDescent="0.35">
      <c r="B18" s="19">
        <v>13</v>
      </c>
      <c r="C18" s="2"/>
      <c r="D18" s="2"/>
      <c r="E18" s="2">
        <v>627334</v>
      </c>
      <c r="F18" s="34"/>
      <c r="G18" s="34">
        <f t="shared" si="9"/>
        <v>0</v>
      </c>
      <c r="H18" s="34">
        <f t="shared" si="11"/>
        <v>0</v>
      </c>
      <c r="I18" s="34">
        <f t="shared" si="10"/>
        <v>1168121.4285714286</v>
      </c>
      <c r="J18" s="34"/>
      <c r="K18" s="34"/>
      <c r="L18" s="125">
        <v>44177</v>
      </c>
      <c r="M18" s="2"/>
      <c r="N18" s="2"/>
      <c r="O18" s="2">
        <v>89179</v>
      </c>
      <c r="P18" s="34"/>
      <c r="Q18" s="34"/>
      <c r="R18" s="34"/>
      <c r="S18" s="34"/>
      <c r="V18" s="34"/>
      <c r="W18" s="19" t="s">
        <v>49</v>
      </c>
      <c r="X18" s="2"/>
      <c r="Y18" s="2"/>
      <c r="Z18" s="2">
        <v>67712</v>
      </c>
      <c r="AA18" s="2"/>
      <c r="AB18" s="2"/>
      <c r="AC18" s="2">
        <v>90335</v>
      </c>
      <c r="AD18" s="2"/>
      <c r="AE18" s="2"/>
      <c r="AF18" s="2">
        <v>123391</v>
      </c>
      <c r="AG18" s="2"/>
      <c r="AH18" s="2"/>
      <c r="AI18" s="2">
        <v>109903</v>
      </c>
      <c r="AJ18" s="2"/>
      <c r="AK18" s="2"/>
      <c r="AL18" s="2">
        <v>94337</v>
      </c>
      <c r="AM18" s="2"/>
      <c r="AN18" s="2"/>
      <c r="AO18" s="2">
        <v>87348</v>
      </c>
      <c r="AP18" s="2"/>
      <c r="AQ18" s="2"/>
      <c r="AR18" s="2">
        <v>63242</v>
      </c>
      <c r="AS18" s="2"/>
      <c r="AT18" s="2"/>
      <c r="AU18" s="2">
        <v>636268</v>
      </c>
      <c r="AV18" s="34"/>
      <c r="AW18" s="20" t="s">
        <v>55</v>
      </c>
      <c r="AX18" s="34">
        <f t="shared" si="1"/>
        <v>0</v>
      </c>
      <c r="AY18" s="34">
        <f t="shared" si="2"/>
        <v>0</v>
      </c>
      <c r="AZ18" s="34">
        <f t="shared" si="3"/>
        <v>0</v>
      </c>
      <c r="BA18" s="34">
        <f t="shared" si="4"/>
        <v>0</v>
      </c>
      <c r="BB18" s="34">
        <f t="shared" si="5"/>
        <v>0</v>
      </c>
      <c r="BC18" s="34">
        <f t="shared" si="6"/>
        <v>0</v>
      </c>
      <c r="BD18" s="34">
        <f>(VLOOKUP(AW18,$W$8:$AU$1048576,2,FALSE))/7</f>
        <v>0</v>
      </c>
      <c r="BE18" s="34">
        <f t="shared" si="8"/>
        <v>0</v>
      </c>
      <c r="BG18" s="125">
        <v>44176</v>
      </c>
      <c r="BH18" s="2"/>
      <c r="BI18" s="2"/>
      <c r="BJ18" s="2">
        <v>89388</v>
      </c>
    </row>
    <row r="19" spans="2:62" x14ac:dyDescent="0.35">
      <c r="B19" s="19" t="s">
        <v>39</v>
      </c>
      <c r="C19" s="2"/>
      <c r="D19" s="2"/>
      <c r="E19" s="2">
        <v>8176850</v>
      </c>
      <c r="F19" s="34"/>
      <c r="G19" s="34">
        <f>C20/7</f>
        <v>0</v>
      </c>
      <c r="H19" s="34">
        <f>D20/7</f>
        <v>0</v>
      </c>
      <c r="I19" s="34">
        <f>E20/7</f>
        <v>0</v>
      </c>
      <c r="J19" s="34"/>
      <c r="K19" s="34"/>
      <c r="L19" s="125">
        <v>44178</v>
      </c>
      <c r="M19" s="2"/>
      <c r="N19" s="2"/>
      <c r="O19" s="2">
        <v>89126</v>
      </c>
      <c r="P19" s="34"/>
      <c r="Q19" s="34"/>
      <c r="R19" s="34"/>
      <c r="S19" s="34"/>
      <c r="V19" s="34"/>
      <c r="W19" s="19" t="s">
        <v>50</v>
      </c>
      <c r="X19" s="2"/>
      <c r="Y19" s="2"/>
      <c r="Z19" s="2">
        <v>66795</v>
      </c>
      <c r="AA19" s="2"/>
      <c r="AB19" s="2"/>
      <c r="AC19" s="2">
        <v>89240</v>
      </c>
      <c r="AD19" s="2"/>
      <c r="AE19" s="2"/>
      <c r="AF19" s="2">
        <v>122991</v>
      </c>
      <c r="AG19" s="2"/>
      <c r="AH19" s="2"/>
      <c r="AI19" s="2">
        <v>109693</v>
      </c>
      <c r="AJ19" s="2"/>
      <c r="AK19" s="2"/>
      <c r="AL19" s="2">
        <v>94743</v>
      </c>
      <c r="AM19" s="2"/>
      <c r="AN19" s="2"/>
      <c r="AO19" s="2">
        <v>86425</v>
      </c>
      <c r="AP19" s="2"/>
      <c r="AQ19" s="2"/>
      <c r="AR19" s="2">
        <v>63652</v>
      </c>
      <c r="AS19" s="2"/>
      <c r="AT19" s="2"/>
      <c r="AU19" s="2">
        <v>633539</v>
      </c>
      <c r="AV19" s="34"/>
      <c r="AW19" s="20"/>
      <c r="AX19" s="34"/>
      <c r="AY19" s="34"/>
      <c r="AZ19" s="34"/>
      <c r="BA19" s="34"/>
      <c r="BB19" s="34"/>
      <c r="BC19" s="34"/>
      <c r="BD19" s="34"/>
      <c r="BE19" s="34"/>
      <c r="BG19" s="125">
        <v>44177</v>
      </c>
      <c r="BH19" s="2"/>
      <c r="BI19" s="2"/>
      <c r="BJ19" s="2">
        <v>89179</v>
      </c>
    </row>
    <row r="20" spans="2:62" x14ac:dyDescent="0.35">
      <c r="F20" s="34"/>
      <c r="G20" s="34"/>
      <c r="H20" s="34"/>
      <c r="I20" s="34"/>
      <c r="J20" s="34"/>
      <c r="K20" s="34"/>
      <c r="L20" s="125">
        <v>44179</v>
      </c>
      <c r="M20" s="2"/>
      <c r="N20" s="2"/>
      <c r="O20" s="2">
        <v>89700</v>
      </c>
      <c r="P20" s="34"/>
      <c r="Q20" s="34"/>
      <c r="R20" s="34"/>
      <c r="S20" s="34"/>
      <c r="W20" s="19" t="s">
        <v>51</v>
      </c>
      <c r="X20" s="2"/>
      <c r="Y20" s="2"/>
      <c r="Z20" s="2">
        <v>67090</v>
      </c>
      <c r="AA20" s="2"/>
      <c r="AB20" s="2"/>
      <c r="AC20" s="2">
        <v>88168</v>
      </c>
      <c r="AD20" s="2"/>
      <c r="AE20" s="2"/>
      <c r="AF20" s="2">
        <v>123849</v>
      </c>
      <c r="AG20" s="2"/>
      <c r="AH20" s="2"/>
      <c r="AI20" s="2">
        <v>110919</v>
      </c>
      <c r="AJ20" s="2"/>
      <c r="AK20" s="2"/>
      <c r="AL20" s="2">
        <v>94456</v>
      </c>
      <c r="AM20" s="2"/>
      <c r="AN20" s="2"/>
      <c r="AO20" s="2">
        <v>86383</v>
      </c>
      <c r="AP20" s="2"/>
      <c r="AQ20" s="2"/>
      <c r="AR20" s="2">
        <v>63637</v>
      </c>
      <c r="AS20" s="2"/>
      <c r="AT20" s="2"/>
      <c r="AU20" s="2">
        <v>634502</v>
      </c>
      <c r="BG20" s="125">
        <v>44178</v>
      </c>
      <c r="BH20" s="2"/>
      <c r="BI20" s="2"/>
      <c r="BJ20" s="2">
        <v>89126</v>
      </c>
    </row>
    <row r="21" spans="2:62" x14ac:dyDescent="0.35">
      <c r="L21" s="125">
        <v>44180</v>
      </c>
      <c r="M21" s="2"/>
      <c r="N21" s="2"/>
      <c r="O21" s="2">
        <v>89840</v>
      </c>
      <c r="V21" s="41"/>
      <c r="W21" s="19" t="s">
        <v>39</v>
      </c>
      <c r="X21" s="2"/>
      <c r="Y21" s="2"/>
      <c r="Z21" s="2">
        <v>875168</v>
      </c>
      <c r="AA21" s="2"/>
      <c r="AB21" s="2"/>
      <c r="AC21" s="2">
        <v>1143419</v>
      </c>
      <c r="AD21" s="2"/>
      <c r="AE21" s="2"/>
      <c r="AF21" s="2">
        <v>1581756</v>
      </c>
      <c r="AG21" s="2"/>
      <c r="AH21" s="2"/>
      <c r="AI21" s="2">
        <v>1420095</v>
      </c>
      <c r="AJ21" s="2"/>
      <c r="AK21" s="2"/>
      <c r="AL21" s="2">
        <v>1215731</v>
      </c>
      <c r="AM21" s="2"/>
      <c r="AN21" s="2"/>
      <c r="AO21" s="2">
        <v>1116049</v>
      </c>
      <c r="AP21" s="2"/>
      <c r="AQ21" s="2"/>
      <c r="AR21" s="2">
        <v>824632</v>
      </c>
      <c r="AS21" s="2"/>
      <c r="AT21" s="2"/>
      <c r="AU21" s="2">
        <v>8176850</v>
      </c>
      <c r="AV21" s="110"/>
      <c r="AW21" s="41"/>
      <c r="AX21" s="41"/>
      <c r="AY21" s="41"/>
      <c r="AZ21" s="41"/>
      <c r="BA21" s="41"/>
      <c r="BB21" s="41"/>
      <c r="BC21" s="41"/>
      <c r="BD21" s="41"/>
      <c r="BE21" s="41"/>
      <c r="BG21" s="125">
        <v>44179</v>
      </c>
      <c r="BH21" s="2"/>
      <c r="BI21" s="2"/>
      <c r="BJ21" s="2">
        <v>89700</v>
      </c>
    </row>
    <row r="22" spans="2:62" x14ac:dyDescent="0.35">
      <c r="L22" s="125">
        <v>44181</v>
      </c>
      <c r="M22" s="2"/>
      <c r="N22" s="2"/>
      <c r="O22" s="2">
        <v>90098</v>
      </c>
      <c r="V22" s="34"/>
      <c r="AM22" s="34"/>
      <c r="AN22" s="34"/>
      <c r="AO22" s="34"/>
      <c r="AP22" s="34"/>
      <c r="AQ22" s="34"/>
      <c r="AR22" s="34"/>
      <c r="AS22" s="34"/>
      <c r="AT22" s="34"/>
      <c r="AU22" s="34"/>
      <c r="AV22" s="34"/>
      <c r="AW22" s="35" t="s">
        <v>212</v>
      </c>
      <c r="AX22" t="s">
        <v>41</v>
      </c>
      <c r="AY22" s="110" t="s">
        <v>1</v>
      </c>
      <c r="AZ22" s="110" t="s">
        <v>226</v>
      </c>
      <c r="BA22" s="110" t="s">
        <v>254</v>
      </c>
      <c r="BB22" s="110" t="s">
        <v>223</v>
      </c>
      <c r="BC22" s="110" t="s">
        <v>224</v>
      </c>
      <c r="BD22" s="44" t="s">
        <v>257</v>
      </c>
      <c r="BE22" s="110" t="s">
        <v>256</v>
      </c>
      <c r="BG22" s="125">
        <v>44180</v>
      </c>
      <c r="BH22" s="2"/>
      <c r="BI22" s="2"/>
      <c r="BJ22" s="2">
        <v>89840</v>
      </c>
    </row>
    <row r="23" spans="2:62" x14ac:dyDescent="0.35">
      <c r="L23" s="125">
        <v>44182</v>
      </c>
      <c r="M23" s="2"/>
      <c r="N23" s="2"/>
      <c r="O23" s="2">
        <v>89936</v>
      </c>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21" t="s">
        <v>43</v>
      </c>
      <c r="AX23" s="34">
        <f>(VLOOKUP(AW23,$W$8:$AU$1048576,24,FALSE))/7</f>
        <v>0</v>
      </c>
      <c r="AY23" s="34">
        <f>(VLOOKUP(AW23,$W$8:$AU$1048576,6,FALSE))/7</f>
        <v>0</v>
      </c>
      <c r="AZ23" s="34">
        <f>(VLOOKUP(AW23,$W$8:$AU$1048576,9,FALSE))/7</f>
        <v>0</v>
      </c>
      <c r="BA23" s="34">
        <f>(VLOOKUP(AW23,$W$8:$AU$1048576,12,FALSE))/7</f>
        <v>0</v>
      </c>
      <c r="BB23" s="34">
        <f>(VLOOKUP(AW23,$W$8:$AU$1048576,18,FALSE))/7</f>
        <v>0</v>
      </c>
      <c r="BC23" s="34">
        <f>(VLOOKUP(AW23,$W$8:$AU$1048576,21,FALSE))/7</f>
        <v>0</v>
      </c>
      <c r="BD23" s="34">
        <f>(VLOOKUP(AW23,$W$8:$AU$1048576,3,FALSE))/7</f>
        <v>0</v>
      </c>
      <c r="BE23" s="34">
        <f>(VLOOKUP(AW23,$W$8:$AU$1048576,15,FALSE))/7</f>
        <v>0</v>
      </c>
      <c r="BG23" s="125">
        <v>44181</v>
      </c>
      <c r="BH23" s="2"/>
      <c r="BI23" s="2"/>
      <c r="BJ23" s="2">
        <v>90098</v>
      </c>
    </row>
    <row r="24" spans="2:62" x14ac:dyDescent="0.35">
      <c r="L24" s="125">
        <v>44183</v>
      </c>
      <c r="M24" s="2"/>
      <c r="N24" s="2"/>
      <c r="O24" s="2">
        <v>89587</v>
      </c>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20" t="s">
        <v>44</v>
      </c>
      <c r="AX24" s="34">
        <f t="shared" ref="AX24:AX35" si="12">(VLOOKUP(AW24,$W$8:$AU$1048576,24,FALSE))/7</f>
        <v>0</v>
      </c>
      <c r="AY24" s="34">
        <f t="shared" ref="AY24:AY35" si="13">(VLOOKUP(AW24,$W$8:$AU$1048576,6,FALSE))/7</f>
        <v>0</v>
      </c>
      <c r="AZ24" s="34">
        <f t="shared" ref="AZ24:AZ35" si="14">(VLOOKUP(AW24,$W$8:$AU$1048576,9,FALSE))/7</f>
        <v>0</v>
      </c>
      <c r="BA24" s="34">
        <f t="shared" ref="BA24:BA35" si="15">(VLOOKUP(AW24,$W$8:$AU$1048576,12,FALSE))/7</f>
        <v>0</v>
      </c>
      <c r="BB24" s="34">
        <f t="shared" ref="BB24:BB35" si="16">(VLOOKUP(AW24,$W$8:$AU$1048576,18,FALSE))/7</f>
        <v>0</v>
      </c>
      <c r="BC24" s="34">
        <f t="shared" ref="BC24:BC35" si="17">(VLOOKUP(AW24,$W$8:$AU$1048576,21,FALSE))/7</f>
        <v>0</v>
      </c>
      <c r="BD24" s="34">
        <f t="shared" ref="BD24:BD35" si="18">(VLOOKUP(AW24,$W$8:$AU$1048576,3,FALSE))/7</f>
        <v>0</v>
      </c>
      <c r="BE24" s="34">
        <f t="shared" ref="BE24:BE35" si="19">(VLOOKUP(AW24,$W$8:$AU$1048576,15,FALSE))/7</f>
        <v>0</v>
      </c>
      <c r="BG24" s="125">
        <v>44182</v>
      </c>
      <c r="BH24" s="2"/>
      <c r="BI24" s="2"/>
      <c r="BJ24" s="2">
        <v>89936</v>
      </c>
    </row>
    <row r="25" spans="2:62" x14ac:dyDescent="0.35">
      <c r="L25" s="125">
        <v>44184</v>
      </c>
      <c r="M25" s="2"/>
      <c r="N25" s="2"/>
      <c r="O25" s="2">
        <v>89411</v>
      </c>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20" t="s">
        <v>45</v>
      </c>
      <c r="AX25" s="34">
        <f t="shared" si="12"/>
        <v>0</v>
      </c>
      <c r="AY25" s="34">
        <f t="shared" si="13"/>
        <v>0</v>
      </c>
      <c r="AZ25" s="34">
        <f t="shared" si="14"/>
        <v>0</v>
      </c>
      <c r="BA25" s="34">
        <f t="shared" si="15"/>
        <v>0</v>
      </c>
      <c r="BB25" s="34">
        <f t="shared" si="16"/>
        <v>0</v>
      </c>
      <c r="BC25" s="34">
        <f t="shared" si="17"/>
        <v>0</v>
      </c>
      <c r="BD25" s="34">
        <f t="shared" si="18"/>
        <v>0</v>
      </c>
      <c r="BE25" s="34">
        <f t="shared" si="19"/>
        <v>0</v>
      </c>
      <c r="BG25" s="125">
        <v>44183</v>
      </c>
      <c r="BH25" s="2"/>
      <c r="BI25" s="2"/>
      <c r="BJ25" s="2">
        <v>89587</v>
      </c>
    </row>
    <row r="26" spans="2:62" x14ac:dyDescent="0.35">
      <c r="L26" s="125">
        <v>44185</v>
      </c>
      <c r="M26" s="2"/>
      <c r="N26" s="2"/>
      <c r="O26" s="2">
        <v>89171</v>
      </c>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20" t="s">
        <v>46</v>
      </c>
      <c r="AX26" s="34">
        <f t="shared" si="12"/>
        <v>0</v>
      </c>
      <c r="AY26" s="34">
        <f t="shared" si="13"/>
        <v>0</v>
      </c>
      <c r="AZ26" s="34">
        <f t="shared" si="14"/>
        <v>0</v>
      </c>
      <c r="BA26" s="34">
        <f t="shared" si="15"/>
        <v>0</v>
      </c>
      <c r="BB26" s="34">
        <f t="shared" si="16"/>
        <v>0</v>
      </c>
      <c r="BC26" s="34">
        <f t="shared" si="17"/>
        <v>0</v>
      </c>
      <c r="BD26" s="34">
        <f t="shared" si="18"/>
        <v>0</v>
      </c>
      <c r="BE26" s="34">
        <f t="shared" si="19"/>
        <v>0</v>
      </c>
      <c r="BG26" s="125">
        <v>44184</v>
      </c>
      <c r="BH26" s="2"/>
      <c r="BI26" s="2"/>
      <c r="BJ26" s="2">
        <v>89411</v>
      </c>
    </row>
    <row r="27" spans="2:62" x14ac:dyDescent="0.35">
      <c r="L27" s="125">
        <v>44186</v>
      </c>
      <c r="M27" s="2"/>
      <c r="N27" s="2"/>
      <c r="O27" s="2">
        <v>89320</v>
      </c>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20" t="s">
        <v>47</v>
      </c>
      <c r="AX27" s="34">
        <f t="shared" si="12"/>
        <v>0</v>
      </c>
      <c r="AY27" s="34">
        <f t="shared" si="13"/>
        <v>0</v>
      </c>
      <c r="AZ27" s="34">
        <f t="shared" si="14"/>
        <v>0</v>
      </c>
      <c r="BA27" s="34">
        <f t="shared" si="15"/>
        <v>0</v>
      </c>
      <c r="BB27" s="34">
        <f t="shared" si="16"/>
        <v>0</v>
      </c>
      <c r="BC27" s="34">
        <f t="shared" si="17"/>
        <v>0</v>
      </c>
      <c r="BD27" s="34">
        <f t="shared" si="18"/>
        <v>0</v>
      </c>
      <c r="BE27" s="34">
        <f t="shared" si="19"/>
        <v>0</v>
      </c>
      <c r="BG27" s="125">
        <v>44185</v>
      </c>
      <c r="BH27" s="2"/>
      <c r="BI27" s="2"/>
      <c r="BJ27" s="2">
        <v>89171</v>
      </c>
    </row>
    <row r="28" spans="2:62" x14ac:dyDescent="0.35">
      <c r="L28" s="125">
        <v>44187</v>
      </c>
      <c r="M28" s="2"/>
      <c r="N28" s="2"/>
      <c r="O28" s="2">
        <v>89194</v>
      </c>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20" t="s">
        <v>48</v>
      </c>
      <c r="AX28" s="34">
        <f t="shared" si="12"/>
        <v>0</v>
      </c>
      <c r="AY28" s="34">
        <f t="shared" si="13"/>
        <v>0</v>
      </c>
      <c r="AZ28" s="34">
        <f t="shared" si="14"/>
        <v>0</v>
      </c>
      <c r="BA28" s="34">
        <f t="shared" si="15"/>
        <v>0</v>
      </c>
      <c r="BB28" s="34">
        <f t="shared" si="16"/>
        <v>0</v>
      </c>
      <c r="BC28" s="34">
        <f t="shared" si="17"/>
        <v>0</v>
      </c>
      <c r="BD28" s="34">
        <f t="shared" si="18"/>
        <v>0</v>
      </c>
      <c r="BE28" s="34">
        <f t="shared" si="19"/>
        <v>0</v>
      </c>
      <c r="BG28" s="125">
        <v>44186</v>
      </c>
      <c r="BH28" s="2"/>
      <c r="BI28" s="2"/>
      <c r="BJ28" s="2">
        <v>89320</v>
      </c>
    </row>
    <row r="29" spans="2:62" x14ac:dyDescent="0.35">
      <c r="L29" s="125">
        <v>44188</v>
      </c>
      <c r="M29" s="2"/>
      <c r="N29" s="2"/>
      <c r="O29" s="2">
        <v>89134</v>
      </c>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20" t="s">
        <v>49</v>
      </c>
      <c r="AX29" s="34">
        <f t="shared" si="12"/>
        <v>0</v>
      </c>
      <c r="AY29" s="34">
        <f t="shared" si="13"/>
        <v>0</v>
      </c>
      <c r="AZ29" s="34">
        <f t="shared" si="14"/>
        <v>0</v>
      </c>
      <c r="BA29" s="34">
        <f t="shared" si="15"/>
        <v>0</v>
      </c>
      <c r="BB29" s="34">
        <f t="shared" si="16"/>
        <v>0</v>
      </c>
      <c r="BC29" s="34">
        <f t="shared" si="17"/>
        <v>0</v>
      </c>
      <c r="BD29" s="34">
        <f t="shared" si="18"/>
        <v>0</v>
      </c>
      <c r="BE29" s="34">
        <f t="shared" si="19"/>
        <v>0</v>
      </c>
      <c r="BG29" s="125">
        <v>44187</v>
      </c>
      <c r="BH29" s="2"/>
      <c r="BI29" s="2"/>
      <c r="BJ29" s="2">
        <v>89194</v>
      </c>
    </row>
    <row r="30" spans="2:62" x14ac:dyDescent="0.35">
      <c r="L30" s="125">
        <v>44189</v>
      </c>
      <c r="M30" s="2"/>
      <c r="N30" s="2"/>
      <c r="O30" s="2">
        <v>88410</v>
      </c>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20" t="s">
        <v>50</v>
      </c>
      <c r="AX30" s="34">
        <f t="shared" si="12"/>
        <v>0</v>
      </c>
      <c r="AY30" s="34">
        <f t="shared" si="13"/>
        <v>0</v>
      </c>
      <c r="AZ30" s="34">
        <f t="shared" si="14"/>
        <v>0</v>
      </c>
      <c r="BA30" s="34">
        <f t="shared" si="15"/>
        <v>0</v>
      </c>
      <c r="BB30" s="34">
        <f t="shared" si="16"/>
        <v>0</v>
      </c>
      <c r="BC30" s="34">
        <f t="shared" si="17"/>
        <v>0</v>
      </c>
      <c r="BD30" s="34">
        <f t="shared" si="18"/>
        <v>0</v>
      </c>
      <c r="BE30" s="34">
        <f t="shared" si="19"/>
        <v>0</v>
      </c>
      <c r="BG30" s="125">
        <v>44188</v>
      </c>
      <c r="BH30" s="2"/>
      <c r="BI30" s="2"/>
      <c r="BJ30" s="2">
        <v>89134</v>
      </c>
    </row>
    <row r="31" spans="2:62" x14ac:dyDescent="0.35">
      <c r="L31" s="125">
        <v>44190</v>
      </c>
      <c r="M31" s="2"/>
      <c r="N31" s="2"/>
      <c r="O31" s="2">
        <v>87584</v>
      </c>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20" t="s">
        <v>51</v>
      </c>
      <c r="AX31" s="34">
        <f t="shared" si="12"/>
        <v>0</v>
      </c>
      <c r="AY31" s="34">
        <f t="shared" si="13"/>
        <v>0</v>
      </c>
      <c r="AZ31" s="34">
        <f t="shared" si="14"/>
        <v>0</v>
      </c>
      <c r="BA31" s="34">
        <f t="shared" si="15"/>
        <v>0</v>
      </c>
      <c r="BB31" s="34">
        <f t="shared" si="16"/>
        <v>0</v>
      </c>
      <c r="BC31" s="34">
        <f t="shared" si="17"/>
        <v>0</v>
      </c>
      <c r="BD31" s="34">
        <f t="shared" si="18"/>
        <v>0</v>
      </c>
      <c r="BE31" s="34">
        <f t="shared" si="19"/>
        <v>0</v>
      </c>
      <c r="BG31" s="125">
        <v>44189</v>
      </c>
      <c r="BH31" s="2"/>
      <c r="BI31" s="2"/>
      <c r="BJ31" s="2">
        <v>88410</v>
      </c>
    </row>
    <row r="32" spans="2:62" x14ac:dyDescent="0.35">
      <c r="L32" s="125">
        <v>44191</v>
      </c>
      <c r="M32" s="2"/>
      <c r="N32" s="2"/>
      <c r="O32" s="2">
        <v>87209</v>
      </c>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20" t="s">
        <v>52</v>
      </c>
      <c r="AX32" s="34">
        <f t="shared" si="12"/>
        <v>0</v>
      </c>
      <c r="AY32" s="34">
        <f>(VLOOKUP(AW32,$W$8:$AU$1048576,6,FALSE))/7</f>
        <v>0</v>
      </c>
      <c r="AZ32" s="34">
        <f t="shared" si="14"/>
        <v>0</v>
      </c>
      <c r="BA32" s="34">
        <f t="shared" si="15"/>
        <v>0</v>
      </c>
      <c r="BB32" s="34">
        <f t="shared" si="16"/>
        <v>0</v>
      </c>
      <c r="BC32" s="34">
        <f t="shared" si="17"/>
        <v>0</v>
      </c>
      <c r="BD32" s="34">
        <f t="shared" si="18"/>
        <v>0</v>
      </c>
      <c r="BE32" s="34">
        <f t="shared" si="19"/>
        <v>0</v>
      </c>
      <c r="BG32" s="125">
        <v>44190</v>
      </c>
      <c r="BH32" s="2"/>
      <c r="BI32" s="2"/>
      <c r="BJ32" s="2">
        <v>87584</v>
      </c>
    </row>
    <row r="33" spans="12:62" x14ac:dyDescent="0.35">
      <c r="L33" s="125">
        <v>44192</v>
      </c>
      <c r="M33" s="2"/>
      <c r="N33" s="2"/>
      <c r="O33" s="2">
        <v>87581</v>
      </c>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20" t="s">
        <v>53</v>
      </c>
      <c r="AX33" s="34">
        <f t="shared" si="12"/>
        <v>0</v>
      </c>
      <c r="AY33" s="34">
        <f t="shared" si="13"/>
        <v>0</v>
      </c>
      <c r="AZ33" s="34">
        <f t="shared" si="14"/>
        <v>0</v>
      </c>
      <c r="BA33" s="34">
        <f t="shared" si="15"/>
        <v>0</v>
      </c>
      <c r="BB33" s="34">
        <f>(VLOOKUP(AW33,$W$8:$AU$1048576,18,FALSE))/7</f>
        <v>0</v>
      </c>
      <c r="BC33" s="34">
        <f t="shared" si="17"/>
        <v>0</v>
      </c>
      <c r="BD33" s="34">
        <f t="shared" si="18"/>
        <v>0</v>
      </c>
      <c r="BE33" s="34">
        <f t="shared" si="19"/>
        <v>0</v>
      </c>
      <c r="BG33" s="125">
        <v>44191</v>
      </c>
      <c r="BH33" s="2"/>
      <c r="BI33" s="2"/>
      <c r="BJ33" s="2">
        <v>87209</v>
      </c>
    </row>
    <row r="34" spans="12:62" x14ac:dyDescent="0.35">
      <c r="L34" s="125">
        <v>44193</v>
      </c>
      <c r="M34" s="2"/>
      <c r="N34" s="2"/>
      <c r="O34" s="2">
        <v>88299</v>
      </c>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20" t="s">
        <v>54</v>
      </c>
      <c r="AX34" s="34">
        <f t="shared" si="12"/>
        <v>0</v>
      </c>
      <c r="AY34" s="34">
        <f t="shared" si="13"/>
        <v>0</v>
      </c>
      <c r="AZ34" s="34">
        <f t="shared" si="14"/>
        <v>0</v>
      </c>
      <c r="BA34" s="34">
        <f t="shared" si="15"/>
        <v>0</v>
      </c>
      <c r="BB34" s="34">
        <f t="shared" si="16"/>
        <v>0</v>
      </c>
      <c r="BC34" s="34">
        <f t="shared" si="17"/>
        <v>0</v>
      </c>
      <c r="BD34" s="34">
        <f t="shared" si="18"/>
        <v>0</v>
      </c>
      <c r="BE34" s="34">
        <f t="shared" si="19"/>
        <v>0</v>
      </c>
      <c r="BG34" s="125">
        <v>44192</v>
      </c>
      <c r="BH34" s="2"/>
      <c r="BI34" s="2"/>
      <c r="BJ34" s="2">
        <v>87581</v>
      </c>
    </row>
    <row r="35" spans="12:62" x14ac:dyDescent="0.35">
      <c r="L35" s="125">
        <v>44194</v>
      </c>
      <c r="M35" s="2"/>
      <c r="N35" s="2"/>
      <c r="O35" s="2">
        <v>89215</v>
      </c>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20" t="s">
        <v>55</v>
      </c>
      <c r="AX35" s="34">
        <f t="shared" si="12"/>
        <v>0</v>
      </c>
      <c r="AY35" s="34">
        <f t="shared" si="13"/>
        <v>0</v>
      </c>
      <c r="AZ35" s="34">
        <f t="shared" si="14"/>
        <v>0</v>
      </c>
      <c r="BA35" s="34">
        <f t="shared" si="15"/>
        <v>0</v>
      </c>
      <c r="BB35" s="34">
        <f t="shared" si="16"/>
        <v>0</v>
      </c>
      <c r="BC35" s="34">
        <f t="shared" si="17"/>
        <v>0</v>
      </c>
      <c r="BD35" s="34">
        <f t="shared" si="18"/>
        <v>0</v>
      </c>
      <c r="BE35" s="34">
        <f t="shared" si="19"/>
        <v>0</v>
      </c>
      <c r="BG35" s="125">
        <v>44193</v>
      </c>
      <c r="BH35" s="2"/>
      <c r="BI35" s="2"/>
      <c r="BJ35" s="2">
        <v>88299</v>
      </c>
    </row>
    <row r="36" spans="12:62" x14ac:dyDescent="0.35">
      <c r="L36" s="125">
        <v>44195</v>
      </c>
      <c r="M36" s="2"/>
      <c r="N36" s="2"/>
      <c r="O36" s="2">
        <v>89838</v>
      </c>
      <c r="AW36" s="20"/>
      <c r="AX36" s="34"/>
      <c r="AY36" s="34"/>
      <c r="AZ36" s="34"/>
      <c r="BA36" s="34"/>
      <c r="BB36" s="34"/>
      <c r="BC36" s="34"/>
      <c r="BD36" s="34"/>
      <c r="BE36" s="34"/>
      <c r="BG36" s="125">
        <v>44194</v>
      </c>
      <c r="BH36" s="2"/>
      <c r="BI36" s="2"/>
      <c r="BJ36" s="2">
        <v>89215</v>
      </c>
    </row>
    <row r="37" spans="12:62" x14ac:dyDescent="0.35">
      <c r="L37" s="125">
        <v>44196</v>
      </c>
      <c r="M37" s="2"/>
      <c r="N37" s="2"/>
      <c r="O37" s="2">
        <v>89810</v>
      </c>
      <c r="V37" s="41"/>
      <c r="W37" s="41"/>
      <c r="X37" s="41"/>
      <c r="Y37" s="41"/>
      <c r="Z37" s="41"/>
      <c r="AA37" s="41"/>
      <c r="AB37" s="41"/>
      <c r="AC37" s="41"/>
      <c r="AD37" s="41"/>
      <c r="AE37" s="41"/>
      <c r="AF37" s="41"/>
      <c r="AG37" s="41"/>
      <c r="AH37" s="41"/>
      <c r="AI37" s="41"/>
      <c r="AJ37" s="41"/>
      <c r="AK37" s="41"/>
      <c r="AL37" s="41"/>
      <c r="AM37" s="41"/>
      <c r="AN37" s="41"/>
      <c r="AO37" s="41"/>
      <c r="AP37" s="110"/>
      <c r="AQ37" s="110"/>
      <c r="AR37" s="110"/>
      <c r="AS37" s="110"/>
      <c r="AT37" s="110"/>
      <c r="AU37" s="41"/>
      <c r="AV37" s="110"/>
      <c r="BC37" s="41"/>
      <c r="BD37" s="41"/>
      <c r="BE37" s="41"/>
      <c r="BG37" s="125">
        <v>44195</v>
      </c>
      <c r="BH37" s="2"/>
      <c r="BI37" s="2"/>
      <c r="BJ37" s="2">
        <v>89838</v>
      </c>
    </row>
    <row r="38" spans="12:62" x14ac:dyDescent="0.35">
      <c r="L38" s="125">
        <v>44197</v>
      </c>
      <c r="M38" s="2"/>
      <c r="N38" s="2"/>
      <c r="O38" s="2">
        <v>89199</v>
      </c>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5" t="s">
        <v>213</v>
      </c>
      <c r="AX38" t="s">
        <v>41</v>
      </c>
      <c r="AY38" s="41" t="s">
        <v>1</v>
      </c>
      <c r="AZ38" s="41" t="s">
        <v>226</v>
      </c>
      <c r="BA38" s="41" t="s">
        <v>254</v>
      </c>
      <c r="BB38" s="41" t="s">
        <v>223</v>
      </c>
      <c r="BC38" s="41" t="s">
        <v>224</v>
      </c>
      <c r="BD38" s="44" t="s">
        <v>257</v>
      </c>
      <c r="BE38" s="34" t="s">
        <v>256</v>
      </c>
      <c r="BG38" s="125">
        <v>44196</v>
      </c>
      <c r="BH38" s="2"/>
      <c r="BI38" s="2"/>
      <c r="BJ38" s="2">
        <v>89810</v>
      </c>
    </row>
    <row r="39" spans="12:62" x14ac:dyDescent="0.35">
      <c r="L39" s="125">
        <v>44198</v>
      </c>
      <c r="M39" s="2"/>
      <c r="N39" s="2"/>
      <c r="O39" s="2">
        <v>89685</v>
      </c>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21" t="s">
        <v>43</v>
      </c>
      <c r="AX39" s="34">
        <f>(VLOOKUP(AW39,$W$8:$AU$1048576,25,FALSE))/7</f>
        <v>88947.428571428565</v>
      </c>
      <c r="AY39" s="34">
        <f>(VLOOKUP(AW39,$W$8:$AU$1048576,7,FALSE))/7</f>
        <v>12514.428571428571</v>
      </c>
      <c r="AZ39" s="34">
        <f>(VLOOKUP(AW39,$W$8:$AU$1048576,10,FALSE))/7</f>
        <v>17134.428571428572</v>
      </c>
      <c r="BA39" s="34">
        <f>(VLOOKUP(AW39,$W$8:$AU$1048576,13,FALSE))/7</f>
        <v>15436.571428571429</v>
      </c>
      <c r="BB39" s="34">
        <f>(VLOOKUP(AW39,$W$8:$AU$1048576,19,FALSE))/7</f>
        <v>12249.428571428571</v>
      </c>
      <c r="BC39" s="34">
        <f>(VLOOKUP(AW39,$W$8:$AU$1048576,22,FALSE))/7</f>
        <v>8970.8571428571431</v>
      </c>
      <c r="BD39" s="34">
        <f>(VLOOKUP(AW39,$W$8:$AU$1048576,4,FALSE))/7</f>
        <v>9535.8571428571431</v>
      </c>
      <c r="BE39" s="34">
        <f>(VLOOKUP(AW39,$W$8:$AU$1048576,16,FALSE))/7</f>
        <v>13105.857142857143</v>
      </c>
      <c r="BG39" s="125">
        <v>44197</v>
      </c>
      <c r="BH39" s="2"/>
      <c r="BI39" s="2"/>
      <c r="BJ39" s="2">
        <v>89199</v>
      </c>
    </row>
    <row r="40" spans="12:62" x14ac:dyDescent="0.35">
      <c r="L40" s="125">
        <v>44199</v>
      </c>
      <c r="M40" s="2"/>
      <c r="N40" s="2"/>
      <c r="O40" s="2">
        <v>89746</v>
      </c>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20" t="s">
        <v>44</v>
      </c>
      <c r="AX40" s="34">
        <f t="shared" ref="AX40:AX52" si="20">(VLOOKUP(AW40,$W$8:$AU$1048576,25,FALSE))/7</f>
        <v>89394.142857142855</v>
      </c>
      <c r="AY40" s="34">
        <f t="shared" ref="AY40:AY52" si="21">(VLOOKUP(AW40,$W$8:$AU$1048576,7,FALSE))/7</f>
        <v>12644</v>
      </c>
      <c r="AZ40" s="34">
        <f t="shared" ref="AZ40:AZ52" si="22">(VLOOKUP(AW40,$W$8:$AU$1048576,10,FALSE))/7</f>
        <v>17175.857142857141</v>
      </c>
      <c r="BA40" s="34">
        <f t="shared" ref="BA40:BA52" si="23">(VLOOKUP(AW40,$W$8:$AU$1048576,13,FALSE))/7</f>
        <v>15500.285714285714</v>
      </c>
      <c r="BB40" s="34">
        <f t="shared" ref="BB40:BB52" si="24">(VLOOKUP(AW40,$W$8:$AU$1048576,19,FALSE))/7</f>
        <v>12224</v>
      </c>
      <c r="BC40" s="34">
        <f t="shared" ref="BC40:BC52" si="25">(VLOOKUP(AW40,$W$8:$AU$1048576,22,FALSE))/7</f>
        <v>9068</v>
      </c>
      <c r="BD40" s="34">
        <f t="shared" ref="BD40:BD52" si="26">(VLOOKUP(AW40,$W$8:$AU$1048576,4,FALSE))/7</f>
        <v>9631.1428571428569</v>
      </c>
      <c r="BE40" s="34">
        <f t="shared" ref="BE40:BE52" si="27">(VLOOKUP(AW40,$W$8:$AU$1048576,16,FALSE))/7</f>
        <v>13150.857142857143</v>
      </c>
      <c r="BG40" s="125">
        <v>44198</v>
      </c>
      <c r="BH40" s="2"/>
      <c r="BI40" s="2"/>
      <c r="BJ40" s="2">
        <v>89685</v>
      </c>
    </row>
    <row r="41" spans="12:62" x14ac:dyDescent="0.35">
      <c r="L41" s="125">
        <v>44200</v>
      </c>
      <c r="M41" s="2"/>
      <c r="N41" s="2"/>
      <c r="O41" s="2">
        <v>90482</v>
      </c>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20" t="s">
        <v>45</v>
      </c>
      <c r="AX41" s="34">
        <f t="shared" si="20"/>
        <v>89677.571428571435</v>
      </c>
      <c r="AY41" s="34">
        <f t="shared" si="21"/>
        <v>12700.428571428571</v>
      </c>
      <c r="AZ41" s="34">
        <f t="shared" si="22"/>
        <v>17186.857142857141</v>
      </c>
      <c r="BA41" s="34">
        <f t="shared" si="23"/>
        <v>15533.285714285714</v>
      </c>
      <c r="BB41" s="34">
        <f t="shared" si="24"/>
        <v>12275.714285714286</v>
      </c>
      <c r="BC41" s="34">
        <f t="shared" si="25"/>
        <v>9066.1428571428569</v>
      </c>
      <c r="BD41" s="34">
        <f t="shared" si="26"/>
        <v>9767.4285714285706</v>
      </c>
      <c r="BE41" s="34">
        <f t="shared" si="27"/>
        <v>13147.714285714286</v>
      </c>
      <c r="BG41" s="125">
        <v>44199</v>
      </c>
      <c r="BH41" s="2"/>
      <c r="BI41" s="2"/>
      <c r="BJ41" s="2">
        <v>89746</v>
      </c>
    </row>
    <row r="42" spans="12:62" x14ac:dyDescent="0.35">
      <c r="L42" s="125">
        <v>44201</v>
      </c>
      <c r="M42" s="2"/>
      <c r="N42" s="2"/>
      <c r="O42" s="2">
        <v>91134</v>
      </c>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20" t="s">
        <v>46</v>
      </c>
      <c r="AX42" s="34">
        <f t="shared" si="20"/>
        <v>88347.428571428565</v>
      </c>
      <c r="AY42" s="34">
        <f t="shared" si="21"/>
        <v>12533.285714285714</v>
      </c>
      <c r="AZ42" s="34">
        <f t="shared" si="22"/>
        <v>17108.571428571428</v>
      </c>
      <c r="BA42" s="34">
        <f t="shared" si="23"/>
        <v>15333.857142857143</v>
      </c>
      <c r="BB42" s="34">
        <f t="shared" si="24"/>
        <v>12064.857142857143</v>
      </c>
      <c r="BC42" s="34">
        <f t="shared" si="25"/>
        <v>8845.5714285714294</v>
      </c>
      <c r="BD42" s="34">
        <f t="shared" si="26"/>
        <v>9571.2857142857138</v>
      </c>
      <c r="BE42" s="34">
        <f t="shared" si="27"/>
        <v>12890</v>
      </c>
      <c r="BG42" s="125">
        <v>44200</v>
      </c>
      <c r="BH42" s="2"/>
      <c r="BI42" s="2"/>
      <c r="BJ42" s="2">
        <v>90482</v>
      </c>
    </row>
    <row r="43" spans="12:62" x14ac:dyDescent="0.35">
      <c r="L43" s="125">
        <v>44202</v>
      </c>
      <c r="M43" s="2"/>
      <c r="N43" s="2"/>
      <c r="O43" s="2">
        <v>91357</v>
      </c>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20" t="s">
        <v>47</v>
      </c>
      <c r="AX43" s="34">
        <f t="shared" si="20"/>
        <v>89398.857142857145</v>
      </c>
      <c r="AY43" s="34">
        <f t="shared" si="21"/>
        <v>12667.857142857143</v>
      </c>
      <c r="AZ43" s="34">
        <f t="shared" si="22"/>
        <v>17254.285714285714</v>
      </c>
      <c r="BA43" s="34">
        <f t="shared" si="23"/>
        <v>15400.285714285714</v>
      </c>
      <c r="BB43" s="34">
        <f t="shared" si="24"/>
        <v>12304.142857142857</v>
      </c>
      <c r="BC43" s="34">
        <f t="shared" si="25"/>
        <v>8982.4285714285706</v>
      </c>
      <c r="BD43" s="34">
        <f t="shared" si="26"/>
        <v>9710.7142857142862</v>
      </c>
      <c r="BE43" s="34">
        <f t="shared" si="27"/>
        <v>13079.142857142857</v>
      </c>
      <c r="BG43" s="125">
        <v>44201</v>
      </c>
      <c r="BH43" s="2"/>
      <c r="BI43" s="2"/>
      <c r="BJ43" s="2">
        <v>91134</v>
      </c>
    </row>
    <row r="44" spans="12:62" x14ac:dyDescent="0.35">
      <c r="L44" s="125">
        <v>44203</v>
      </c>
      <c r="M44" s="2"/>
      <c r="N44" s="2"/>
      <c r="O44" s="2">
        <v>91308</v>
      </c>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20" t="s">
        <v>48</v>
      </c>
      <c r="AX44" s="34">
        <f t="shared" si="20"/>
        <v>90884.571428571435</v>
      </c>
      <c r="AY44" s="34">
        <f t="shared" si="21"/>
        <v>12968</v>
      </c>
      <c r="AZ44" s="34">
        <f t="shared" si="22"/>
        <v>17537.571428571428</v>
      </c>
      <c r="BA44" s="34">
        <f t="shared" si="23"/>
        <v>15682</v>
      </c>
      <c r="BB44" s="34">
        <f t="shared" si="24"/>
        <v>12556.714285714286</v>
      </c>
      <c r="BC44" s="34">
        <f t="shared" si="25"/>
        <v>9139.4285714285706</v>
      </c>
      <c r="BD44" s="34">
        <f t="shared" si="26"/>
        <v>9738</v>
      </c>
      <c r="BE44" s="34">
        <f t="shared" si="27"/>
        <v>13262.857142857143</v>
      </c>
      <c r="BG44" s="125">
        <v>44202</v>
      </c>
      <c r="BH44" s="2"/>
      <c r="BI44" s="2"/>
      <c r="BJ44" s="2">
        <v>91357</v>
      </c>
    </row>
    <row r="45" spans="12:62" x14ac:dyDescent="0.35">
      <c r="L45" s="125">
        <v>44204</v>
      </c>
      <c r="M45" s="2"/>
      <c r="N45" s="2"/>
      <c r="O45" s="2">
        <v>90899</v>
      </c>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20" t="s">
        <v>49</v>
      </c>
      <c r="AX45" s="34">
        <f t="shared" si="20"/>
        <v>90895.428571428565</v>
      </c>
      <c r="AY45" s="34">
        <f t="shared" si="21"/>
        <v>12905</v>
      </c>
      <c r="AZ45" s="34">
        <f t="shared" si="22"/>
        <v>17627.285714285714</v>
      </c>
      <c r="BA45" s="34">
        <f t="shared" si="23"/>
        <v>15700.428571428571</v>
      </c>
      <c r="BB45" s="34">
        <f t="shared" si="24"/>
        <v>12478.285714285714</v>
      </c>
      <c r="BC45" s="34">
        <f t="shared" si="25"/>
        <v>9034.5714285714294</v>
      </c>
      <c r="BD45" s="34">
        <f t="shared" si="26"/>
        <v>9673.1428571428569</v>
      </c>
      <c r="BE45" s="34">
        <f t="shared" si="27"/>
        <v>13476.714285714286</v>
      </c>
      <c r="BG45" s="125">
        <v>44203</v>
      </c>
      <c r="BH45" s="2"/>
      <c r="BI45" s="2"/>
      <c r="BJ45" s="2">
        <v>91308</v>
      </c>
    </row>
    <row r="46" spans="12:62" x14ac:dyDescent="0.35">
      <c r="L46" s="125">
        <v>44205</v>
      </c>
      <c r="M46" s="2"/>
      <c r="N46" s="2"/>
      <c r="O46" s="2">
        <v>90550</v>
      </c>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20" t="s">
        <v>50</v>
      </c>
      <c r="AX46" s="34">
        <f t="shared" si="20"/>
        <v>90505.571428571435</v>
      </c>
      <c r="AY46" s="34">
        <f t="shared" si="21"/>
        <v>12748.571428571429</v>
      </c>
      <c r="AZ46" s="34">
        <f t="shared" si="22"/>
        <v>17570.142857142859</v>
      </c>
      <c r="BA46" s="34">
        <f t="shared" si="23"/>
        <v>15670.428571428571</v>
      </c>
      <c r="BB46" s="34">
        <f t="shared" si="24"/>
        <v>12346.428571428571</v>
      </c>
      <c r="BC46" s="34">
        <f t="shared" si="25"/>
        <v>9093.1428571428569</v>
      </c>
      <c r="BD46" s="34">
        <f t="shared" si="26"/>
        <v>9542.1428571428569</v>
      </c>
      <c r="BE46" s="34">
        <f t="shared" si="27"/>
        <v>13534.714285714286</v>
      </c>
      <c r="BG46" s="125">
        <v>44204</v>
      </c>
      <c r="BH46" s="2"/>
      <c r="BI46" s="2"/>
      <c r="BJ46" s="2">
        <v>90899</v>
      </c>
    </row>
    <row r="47" spans="12:62" x14ac:dyDescent="0.35">
      <c r="L47" s="125">
        <v>44206</v>
      </c>
      <c r="M47" s="2"/>
      <c r="N47" s="2"/>
      <c r="O47" s="2">
        <v>90462</v>
      </c>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20" t="s">
        <v>51</v>
      </c>
      <c r="AX47" s="34">
        <f t="shared" si="20"/>
        <v>90643.142857142855</v>
      </c>
      <c r="AY47" s="34">
        <f t="shared" si="21"/>
        <v>12595.428571428571</v>
      </c>
      <c r="AZ47" s="34">
        <f t="shared" si="22"/>
        <v>17692.714285714286</v>
      </c>
      <c r="BA47" s="34">
        <f t="shared" si="23"/>
        <v>15845.571428571429</v>
      </c>
      <c r="BB47" s="34">
        <f t="shared" si="24"/>
        <v>12340.428571428571</v>
      </c>
      <c r="BC47" s="34">
        <f t="shared" si="25"/>
        <v>9091</v>
      </c>
      <c r="BD47" s="34">
        <f t="shared" si="26"/>
        <v>9584.2857142857138</v>
      </c>
      <c r="BE47" s="34">
        <f t="shared" si="27"/>
        <v>13493.714285714286</v>
      </c>
      <c r="BG47" s="125">
        <v>44205</v>
      </c>
      <c r="BH47" s="2"/>
      <c r="BI47" s="2"/>
      <c r="BJ47" s="2">
        <v>90550</v>
      </c>
    </row>
    <row r="48" spans="12:62" x14ac:dyDescent="0.35">
      <c r="L48" s="125">
        <v>44207</v>
      </c>
      <c r="M48" s="2"/>
      <c r="N48" s="2"/>
      <c r="O48" s="2">
        <v>91057</v>
      </c>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20" t="s">
        <v>52</v>
      </c>
      <c r="AX48" s="34">
        <f t="shared" si="20"/>
        <v>90539</v>
      </c>
      <c r="AY48" s="34">
        <f t="shared" si="21"/>
        <v>12460.857142857143</v>
      </c>
      <c r="AZ48" s="34">
        <f t="shared" si="22"/>
        <v>17582.571428571428</v>
      </c>
      <c r="BA48" s="34">
        <f t="shared" si="23"/>
        <v>15792.428571428571</v>
      </c>
      <c r="BB48" s="34">
        <f t="shared" si="24"/>
        <v>12296.285714285714</v>
      </c>
      <c r="BC48" s="34">
        <f t="shared" si="25"/>
        <v>9102.5714285714294</v>
      </c>
      <c r="BD48" s="34">
        <f t="shared" si="26"/>
        <v>9602.8571428571431</v>
      </c>
      <c r="BE48" s="34">
        <f t="shared" si="27"/>
        <v>13701.428571428571</v>
      </c>
      <c r="BG48" s="125">
        <v>44206</v>
      </c>
      <c r="BH48" s="2"/>
      <c r="BI48" s="2"/>
      <c r="BJ48" s="2">
        <v>90462</v>
      </c>
    </row>
    <row r="49" spans="12:62" x14ac:dyDescent="0.35">
      <c r="L49" s="125">
        <v>44208</v>
      </c>
      <c r="M49" s="2"/>
      <c r="N49" s="2"/>
      <c r="O49" s="2">
        <v>91098</v>
      </c>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20" t="s">
        <v>53</v>
      </c>
      <c r="AX49" s="34">
        <f t="shared" si="20"/>
        <v>89811.571428571435</v>
      </c>
      <c r="AY49" s="34">
        <f t="shared" si="21"/>
        <v>12202.571428571429</v>
      </c>
      <c r="AZ49" s="34">
        <f t="shared" si="22"/>
        <v>17453.142857142859</v>
      </c>
      <c r="BA49" s="34">
        <f t="shared" si="23"/>
        <v>15671.285714285714</v>
      </c>
      <c r="BB49" s="34">
        <f t="shared" si="24"/>
        <v>12147.285714285714</v>
      </c>
      <c r="BC49" s="34">
        <f t="shared" si="25"/>
        <v>9133</v>
      </c>
      <c r="BD49" s="34">
        <f>(VLOOKUP(AW49,$W$8:$AU$1048576,4,FALSE))/7</f>
        <v>9566</v>
      </c>
      <c r="BE49" s="34">
        <f t="shared" si="27"/>
        <v>13638.285714285714</v>
      </c>
      <c r="BG49" s="125">
        <v>44207</v>
      </c>
      <c r="BH49" s="2"/>
      <c r="BI49" s="2"/>
      <c r="BJ49" s="2">
        <v>91057</v>
      </c>
    </row>
    <row r="50" spans="12:62" x14ac:dyDescent="0.35">
      <c r="L50" s="125">
        <v>44209</v>
      </c>
      <c r="M50" s="2"/>
      <c r="N50" s="2"/>
      <c r="O50" s="2">
        <v>91388</v>
      </c>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20" t="s">
        <v>54</v>
      </c>
      <c r="AX50" s="34">
        <f t="shared" si="20"/>
        <v>89457.571428571435</v>
      </c>
      <c r="AY50" s="34">
        <f t="shared" si="21"/>
        <v>12189.571428571429</v>
      </c>
      <c r="AZ50" s="34">
        <f t="shared" si="22"/>
        <v>17333.857142857141</v>
      </c>
      <c r="BA50" s="34">
        <f t="shared" si="23"/>
        <v>15628.285714285714</v>
      </c>
      <c r="BB50" s="34">
        <f t="shared" si="24"/>
        <v>12063.428571428571</v>
      </c>
      <c r="BC50" s="34">
        <f t="shared" si="25"/>
        <v>9140.8571428571431</v>
      </c>
      <c r="BD50" s="34">
        <f t="shared" si="26"/>
        <v>9550.1428571428569</v>
      </c>
      <c r="BE50" s="34">
        <f t="shared" si="27"/>
        <v>13551.428571428571</v>
      </c>
      <c r="BG50" s="125">
        <v>44208</v>
      </c>
      <c r="BH50" s="2"/>
      <c r="BI50" s="2"/>
      <c r="BJ50" s="2">
        <v>91098</v>
      </c>
    </row>
    <row r="51" spans="12:62" x14ac:dyDescent="0.35">
      <c r="L51" s="125">
        <v>44210</v>
      </c>
      <c r="M51" s="2"/>
      <c r="N51" s="2"/>
      <c r="O51" s="2">
        <v>91093</v>
      </c>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20" t="s">
        <v>55</v>
      </c>
      <c r="AX51" s="34">
        <f>(VLOOKUP(AW51,$W$8:$AU$1048576,25,FALSE))/7</f>
        <v>89619.142857142855</v>
      </c>
      <c r="AY51" s="34">
        <f t="shared" si="21"/>
        <v>12215.571428571429</v>
      </c>
      <c r="AZ51" s="34">
        <f t="shared" si="22"/>
        <v>17307.857142857141</v>
      </c>
      <c r="BA51" s="34">
        <f t="shared" si="23"/>
        <v>15676</v>
      </c>
      <c r="BB51" s="34">
        <f t="shared" si="24"/>
        <v>12088.571428571429</v>
      </c>
      <c r="BC51" s="34">
        <f t="shared" si="25"/>
        <v>9137</v>
      </c>
      <c r="BD51" s="34">
        <f t="shared" si="26"/>
        <v>9551</v>
      </c>
      <c r="BE51" s="34">
        <f t="shared" si="27"/>
        <v>13643.142857142857</v>
      </c>
      <c r="BG51" s="125">
        <v>44209</v>
      </c>
      <c r="BH51" s="2"/>
      <c r="BI51" s="2"/>
      <c r="BJ51" s="2">
        <v>91388</v>
      </c>
    </row>
    <row r="52" spans="12:62" x14ac:dyDescent="0.35">
      <c r="L52" s="125">
        <v>44211</v>
      </c>
      <c r="M52" s="2"/>
      <c r="N52" s="2"/>
      <c r="O52" s="2">
        <v>91031</v>
      </c>
      <c r="AW52" s="20" t="s">
        <v>56</v>
      </c>
      <c r="AX52" s="34" t="e">
        <f t="shared" si="20"/>
        <v>#N/A</v>
      </c>
      <c r="AY52" s="34" t="e">
        <f t="shared" si="21"/>
        <v>#N/A</v>
      </c>
      <c r="AZ52" s="34" t="e">
        <f t="shared" si="22"/>
        <v>#N/A</v>
      </c>
      <c r="BA52" s="34" t="e">
        <f t="shared" si="23"/>
        <v>#N/A</v>
      </c>
      <c r="BB52" s="34" t="e">
        <f t="shared" si="24"/>
        <v>#N/A</v>
      </c>
      <c r="BC52" s="34" t="e">
        <f t="shared" si="25"/>
        <v>#N/A</v>
      </c>
      <c r="BD52" s="34" t="e">
        <f t="shared" si="26"/>
        <v>#N/A</v>
      </c>
      <c r="BE52" s="34" t="e">
        <f t="shared" si="27"/>
        <v>#N/A</v>
      </c>
      <c r="BG52" s="125">
        <v>44210</v>
      </c>
      <c r="BH52" s="2"/>
      <c r="BI52" s="2"/>
      <c r="BJ52" s="2">
        <v>91093</v>
      </c>
    </row>
    <row r="53" spans="12:62" x14ac:dyDescent="0.35">
      <c r="L53" s="125">
        <v>44212</v>
      </c>
      <c r="M53" s="2"/>
      <c r="N53" s="2"/>
      <c r="O53" s="2">
        <v>90362</v>
      </c>
      <c r="BG53" s="125">
        <v>44211</v>
      </c>
      <c r="BH53" s="2"/>
      <c r="BI53" s="2"/>
      <c r="BJ53" s="2">
        <v>91031</v>
      </c>
    </row>
    <row r="54" spans="12:62" x14ac:dyDescent="0.35">
      <c r="L54" s="125">
        <v>44213</v>
      </c>
      <c r="M54" s="2"/>
      <c r="N54" s="2"/>
      <c r="O54" s="2">
        <v>90239</v>
      </c>
      <c r="BG54" s="125">
        <v>44212</v>
      </c>
      <c r="BH54" s="2"/>
      <c r="BI54" s="2"/>
      <c r="BJ54" s="2">
        <v>90362</v>
      </c>
    </row>
    <row r="55" spans="12:62" x14ac:dyDescent="0.35">
      <c r="L55" s="125">
        <v>44214</v>
      </c>
      <c r="M55" s="2"/>
      <c r="N55" s="2"/>
      <c r="O55" s="2">
        <v>90146</v>
      </c>
      <c r="BG55" s="125">
        <v>44213</v>
      </c>
      <c r="BH55" s="2"/>
      <c r="BI55" s="2"/>
      <c r="BJ55" s="2">
        <v>90239</v>
      </c>
    </row>
    <row r="56" spans="12:62" x14ac:dyDescent="0.35">
      <c r="L56" s="125">
        <v>44215</v>
      </c>
      <c r="M56" s="2"/>
      <c r="N56" s="2"/>
      <c r="O56" s="2">
        <v>90272</v>
      </c>
      <c r="BG56" s="125">
        <v>44214</v>
      </c>
      <c r="BH56" s="2"/>
      <c r="BI56" s="2"/>
      <c r="BJ56" s="2">
        <v>90146</v>
      </c>
    </row>
    <row r="57" spans="12:62" x14ac:dyDescent="0.35">
      <c r="L57" s="125">
        <v>44216</v>
      </c>
      <c r="M57" s="2"/>
      <c r="N57" s="2"/>
      <c r="O57" s="2">
        <v>90620</v>
      </c>
      <c r="BG57" s="125">
        <v>44215</v>
      </c>
      <c r="BH57" s="2"/>
      <c r="BI57" s="2"/>
      <c r="BJ57" s="2">
        <v>90272</v>
      </c>
    </row>
    <row r="58" spans="12:62" x14ac:dyDescent="0.35">
      <c r="L58" s="125">
        <v>44217</v>
      </c>
      <c r="M58" s="2"/>
      <c r="N58" s="2"/>
      <c r="O58" s="2">
        <v>90419</v>
      </c>
      <c r="BG58" s="125">
        <v>44216</v>
      </c>
      <c r="BH58" s="2"/>
      <c r="BI58" s="2"/>
      <c r="BJ58" s="2">
        <v>90620</v>
      </c>
    </row>
    <row r="59" spans="12:62" x14ac:dyDescent="0.35">
      <c r="L59" s="125">
        <v>44218</v>
      </c>
      <c r="M59" s="2"/>
      <c r="N59" s="2"/>
      <c r="O59" s="2">
        <v>90534</v>
      </c>
      <c r="BG59" s="125">
        <v>44217</v>
      </c>
      <c r="BH59" s="2"/>
      <c r="BI59" s="2"/>
      <c r="BJ59" s="2">
        <v>90419</v>
      </c>
    </row>
    <row r="60" spans="12:62" x14ac:dyDescent="0.35">
      <c r="L60" s="125">
        <v>44219</v>
      </c>
      <c r="M60" s="2"/>
      <c r="N60" s="2"/>
      <c r="O60" s="2">
        <v>90683</v>
      </c>
      <c r="BG60" s="125">
        <v>44218</v>
      </c>
      <c r="BH60" s="2"/>
      <c r="BI60" s="2"/>
      <c r="BJ60" s="2">
        <v>90534</v>
      </c>
    </row>
    <row r="61" spans="12:62" x14ac:dyDescent="0.35">
      <c r="L61" s="125">
        <v>44220</v>
      </c>
      <c r="M61" s="2"/>
      <c r="N61" s="2"/>
      <c r="O61" s="2">
        <v>90865</v>
      </c>
      <c r="BG61" s="125">
        <v>44219</v>
      </c>
      <c r="BH61" s="2"/>
      <c r="BI61" s="2"/>
      <c r="BJ61" s="2">
        <v>90683</v>
      </c>
    </row>
    <row r="62" spans="12:62" x14ac:dyDescent="0.35">
      <c r="L62" s="125">
        <v>44221</v>
      </c>
      <c r="M62" s="2"/>
      <c r="N62" s="2"/>
      <c r="O62" s="2">
        <v>90997</v>
      </c>
      <c r="BG62" s="125">
        <v>44220</v>
      </c>
      <c r="BH62" s="2"/>
      <c r="BI62" s="2"/>
      <c r="BJ62" s="2">
        <v>90865</v>
      </c>
    </row>
    <row r="63" spans="12:62" x14ac:dyDescent="0.35">
      <c r="L63" s="125">
        <v>44222</v>
      </c>
      <c r="M63" s="2"/>
      <c r="N63" s="2"/>
      <c r="O63" s="2">
        <v>91259</v>
      </c>
      <c r="BG63" s="125">
        <v>44221</v>
      </c>
      <c r="BH63" s="2"/>
      <c r="BI63" s="2"/>
      <c r="BJ63" s="2">
        <v>90997</v>
      </c>
    </row>
    <row r="64" spans="12:62" x14ac:dyDescent="0.35">
      <c r="L64" s="125">
        <v>44223</v>
      </c>
      <c r="M64" s="2"/>
      <c r="N64" s="2"/>
      <c r="O64" s="2">
        <v>91050</v>
      </c>
      <c r="BG64" s="125">
        <v>44222</v>
      </c>
      <c r="BH64" s="2"/>
      <c r="BI64" s="2"/>
      <c r="BJ64" s="2">
        <v>91259</v>
      </c>
    </row>
    <row r="65" spans="12:62" x14ac:dyDescent="0.35">
      <c r="L65" s="125">
        <v>44224</v>
      </c>
      <c r="M65" s="2"/>
      <c r="N65" s="2"/>
      <c r="O65" s="2">
        <v>90812</v>
      </c>
      <c r="BG65" s="125">
        <v>44223</v>
      </c>
      <c r="BH65" s="2"/>
      <c r="BI65" s="2"/>
      <c r="BJ65" s="2">
        <v>91050</v>
      </c>
    </row>
    <row r="66" spans="12:62" x14ac:dyDescent="0.35">
      <c r="L66" s="125">
        <v>44225</v>
      </c>
      <c r="M66" s="2"/>
      <c r="N66" s="2"/>
      <c r="O66" s="2">
        <v>90662</v>
      </c>
      <c r="BG66" s="125">
        <v>44224</v>
      </c>
      <c r="BH66" s="2"/>
      <c r="BI66" s="2"/>
      <c r="BJ66" s="2">
        <v>90812</v>
      </c>
    </row>
    <row r="67" spans="12:62" x14ac:dyDescent="0.35">
      <c r="L67" s="125">
        <v>44226</v>
      </c>
      <c r="M67" s="2"/>
      <c r="N67" s="2"/>
      <c r="O67" s="2">
        <v>90351</v>
      </c>
      <c r="BG67" s="125">
        <v>44225</v>
      </c>
      <c r="BH67" s="2"/>
      <c r="BI67" s="2"/>
      <c r="BJ67" s="2">
        <v>90662</v>
      </c>
    </row>
    <row r="68" spans="12:62" x14ac:dyDescent="0.35">
      <c r="L68" s="125">
        <v>44227</v>
      </c>
      <c r="M68" s="2"/>
      <c r="N68" s="2"/>
      <c r="O68" s="2">
        <v>89371</v>
      </c>
      <c r="BG68" s="125">
        <v>44226</v>
      </c>
      <c r="BH68" s="2"/>
      <c r="BI68" s="2"/>
      <c r="BJ68" s="2">
        <v>90351</v>
      </c>
    </row>
    <row r="69" spans="12:62" x14ac:dyDescent="0.35">
      <c r="L69" s="125">
        <v>44228</v>
      </c>
      <c r="M69" s="2"/>
      <c r="N69" s="2"/>
      <c r="O69" s="2">
        <v>90561</v>
      </c>
      <c r="BG69" s="125">
        <v>44227</v>
      </c>
      <c r="BH69" s="2"/>
      <c r="BI69" s="2"/>
      <c r="BJ69" s="2">
        <v>89371</v>
      </c>
    </row>
    <row r="70" spans="12:62" x14ac:dyDescent="0.35">
      <c r="L70" s="125">
        <v>44229</v>
      </c>
      <c r="M70" s="2"/>
      <c r="N70" s="2"/>
      <c r="O70" s="2">
        <v>90782</v>
      </c>
      <c r="BG70" s="125">
        <v>44228</v>
      </c>
      <c r="BH70" s="2"/>
      <c r="BI70" s="2"/>
      <c r="BJ70" s="2">
        <v>90561</v>
      </c>
    </row>
    <row r="71" spans="12:62" x14ac:dyDescent="0.35">
      <c r="L71" s="125">
        <v>44230</v>
      </c>
      <c r="M71" s="2"/>
      <c r="N71" s="2"/>
      <c r="O71" s="2">
        <v>90801</v>
      </c>
      <c r="BG71" s="125">
        <v>44229</v>
      </c>
      <c r="BH71" s="2"/>
      <c r="BI71" s="2"/>
      <c r="BJ71" s="2">
        <v>90782</v>
      </c>
    </row>
    <row r="72" spans="12:62" x14ac:dyDescent="0.35">
      <c r="L72" s="125">
        <v>44231</v>
      </c>
      <c r="M72" s="2"/>
      <c r="N72" s="2"/>
      <c r="O72" s="2">
        <v>90687</v>
      </c>
      <c r="BG72" s="125">
        <v>44230</v>
      </c>
      <c r="BH72" s="2"/>
      <c r="BI72" s="2"/>
      <c r="BJ72" s="2">
        <v>90801</v>
      </c>
    </row>
    <row r="73" spans="12:62" x14ac:dyDescent="0.35">
      <c r="L73" s="125">
        <v>44232</v>
      </c>
      <c r="M73" s="2"/>
      <c r="N73" s="2"/>
      <c r="O73" s="2">
        <v>90528</v>
      </c>
      <c r="BG73" s="125">
        <v>44231</v>
      </c>
      <c r="BH73" s="2"/>
      <c r="BI73" s="2"/>
      <c r="BJ73" s="2">
        <v>90687</v>
      </c>
    </row>
    <row r="74" spans="12:62" x14ac:dyDescent="0.35">
      <c r="L74" s="125">
        <v>44233</v>
      </c>
      <c r="M74" s="2"/>
      <c r="N74" s="2"/>
      <c r="O74" s="2">
        <v>90303</v>
      </c>
      <c r="BG74" s="125">
        <v>44232</v>
      </c>
      <c r="BH74" s="2"/>
      <c r="BI74" s="2"/>
      <c r="BJ74" s="2">
        <v>90528</v>
      </c>
    </row>
    <row r="75" spans="12:62" x14ac:dyDescent="0.35">
      <c r="L75" s="125">
        <v>44234</v>
      </c>
      <c r="M75" s="2"/>
      <c r="N75" s="2"/>
      <c r="O75" s="2">
        <v>90111</v>
      </c>
      <c r="BG75" s="125">
        <v>44233</v>
      </c>
      <c r="BH75" s="2"/>
      <c r="BI75" s="2"/>
      <c r="BJ75" s="2">
        <v>90303</v>
      </c>
    </row>
    <row r="76" spans="12:62" x14ac:dyDescent="0.35">
      <c r="L76" s="125">
        <v>44235</v>
      </c>
      <c r="M76" s="2"/>
      <c r="N76" s="2"/>
      <c r="O76" s="2">
        <v>90257</v>
      </c>
      <c r="BG76" s="125">
        <v>44234</v>
      </c>
      <c r="BH76" s="2"/>
      <c r="BI76" s="2"/>
      <c r="BJ76" s="2">
        <v>90111</v>
      </c>
    </row>
    <row r="77" spans="12:62" x14ac:dyDescent="0.35">
      <c r="L77" s="125">
        <v>44236</v>
      </c>
      <c r="M77" s="2"/>
      <c r="N77" s="2"/>
      <c r="O77" s="2">
        <v>90159</v>
      </c>
      <c r="BG77" s="125">
        <v>44235</v>
      </c>
      <c r="BH77" s="2"/>
      <c r="BI77" s="2"/>
      <c r="BJ77" s="2">
        <v>90257</v>
      </c>
    </row>
    <row r="78" spans="12:62" x14ac:dyDescent="0.35">
      <c r="L78" s="125">
        <v>44237</v>
      </c>
      <c r="M78" s="2"/>
      <c r="N78" s="2"/>
      <c r="O78" s="2">
        <v>90153</v>
      </c>
      <c r="BG78" s="125">
        <v>44236</v>
      </c>
      <c r="BH78" s="2"/>
      <c r="BI78" s="2"/>
      <c r="BJ78" s="2">
        <v>90159</v>
      </c>
    </row>
    <row r="79" spans="12:62" x14ac:dyDescent="0.35">
      <c r="L79" s="125">
        <v>44238</v>
      </c>
      <c r="M79" s="2"/>
      <c r="N79" s="2"/>
      <c r="O79" s="2">
        <v>90015</v>
      </c>
      <c r="BG79" s="125">
        <v>44237</v>
      </c>
      <c r="BH79" s="2"/>
      <c r="BI79" s="2"/>
      <c r="BJ79" s="2">
        <v>90153</v>
      </c>
    </row>
    <row r="80" spans="12:62" x14ac:dyDescent="0.35">
      <c r="L80" s="125">
        <v>44239</v>
      </c>
      <c r="M80" s="2"/>
      <c r="N80" s="2"/>
      <c r="O80" s="2">
        <v>89723</v>
      </c>
      <c r="BG80" s="125">
        <v>44238</v>
      </c>
      <c r="BH80" s="2"/>
      <c r="BI80" s="2"/>
      <c r="BJ80" s="2">
        <v>90015</v>
      </c>
    </row>
    <row r="81" spans="12:62" x14ac:dyDescent="0.35">
      <c r="L81" s="125">
        <v>44240</v>
      </c>
      <c r="M81" s="2"/>
      <c r="N81" s="2"/>
      <c r="O81" s="2">
        <v>89252</v>
      </c>
      <c r="BG81" s="125">
        <v>44239</v>
      </c>
      <c r="BH81" s="2"/>
      <c r="BI81" s="2"/>
      <c r="BJ81" s="2">
        <v>89723</v>
      </c>
    </row>
    <row r="82" spans="12:62" x14ac:dyDescent="0.35">
      <c r="L82" s="125">
        <v>44241</v>
      </c>
      <c r="M82" s="2"/>
      <c r="N82" s="2"/>
      <c r="O82" s="2">
        <v>89122</v>
      </c>
      <c r="BG82" s="125">
        <v>44240</v>
      </c>
      <c r="BH82" s="2"/>
      <c r="BI82" s="2"/>
      <c r="BJ82" s="2">
        <v>89252</v>
      </c>
    </row>
    <row r="83" spans="12:62" x14ac:dyDescent="0.35">
      <c r="L83" s="125">
        <v>44242</v>
      </c>
      <c r="M83" s="2"/>
      <c r="N83" s="2"/>
      <c r="O83" s="2">
        <v>89313</v>
      </c>
      <c r="BG83" s="125">
        <v>44241</v>
      </c>
      <c r="BH83" s="2"/>
      <c r="BI83" s="2"/>
      <c r="BJ83" s="2">
        <v>89122</v>
      </c>
    </row>
    <row r="84" spans="12:62" x14ac:dyDescent="0.35">
      <c r="L84" s="125">
        <v>44243</v>
      </c>
      <c r="M84" s="2"/>
      <c r="N84" s="2"/>
      <c r="O84" s="2">
        <v>89479</v>
      </c>
      <c r="BG84" s="125">
        <v>44242</v>
      </c>
      <c r="BH84" s="2"/>
      <c r="BI84" s="2"/>
      <c r="BJ84" s="2">
        <v>89313</v>
      </c>
    </row>
    <row r="85" spans="12:62" x14ac:dyDescent="0.35">
      <c r="L85" s="125">
        <v>44244</v>
      </c>
      <c r="M85" s="2"/>
      <c r="N85" s="2"/>
      <c r="O85" s="2">
        <v>89519</v>
      </c>
      <c r="BG85" s="125">
        <v>44243</v>
      </c>
      <c r="BH85" s="2"/>
      <c r="BI85" s="2"/>
      <c r="BJ85" s="2">
        <v>89479</v>
      </c>
    </row>
    <row r="86" spans="12:62" x14ac:dyDescent="0.35">
      <c r="L86" s="125">
        <v>44245</v>
      </c>
      <c r="M86" s="2"/>
      <c r="N86" s="2"/>
      <c r="O86" s="2">
        <v>89546</v>
      </c>
      <c r="BG86" s="125">
        <v>44244</v>
      </c>
      <c r="BH86" s="2"/>
      <c r="BI86" s="2"/>
      <c r="BJ86" s="2">
        <v>89519</v>
      </c>
    </row>
    <row r="87" spans="12:62" x14ac:dyDescent="0.35">
      <c r="L87" s="125">
        <v>44246</v>
      </c>
      <c r="M87" s="2"/>
      <c r="N87" s="2"/>
      <c r="O87" s="2">
        <v>89618</v>
      </c>
      <c r="BG87" s="125">
        <v>44245</v>
      </c>
      <c r="BH87" s="2"/>
      <c r="BI87" s="2"/>
      <c r="BJ87" s="2">
        <v>89546</v>
      </c>
    </row>
    <row r="88" spans="12:62" x14ac:dyDescent="0.35">
      <c r="L88" s="125">
        <v>44247</v>
      </c>
      <c r="M88" s="2"/>
      <c r="N88" s="2"/>
      <c r="O88" s="2">
        <v>89349</v>
      </c>
      <c r="BG88" s="125">
        <v>44246</v>
      </c>
      <c r="BH88" s="2"/>
      <c r="BI88" s="2"/>
      <c r="BJ88" s="2">
        <v>89618</v>
      </c>
    </row>
    <row r="89" spans="12:62" x14ac:dyDescent="0.35">
      <c r="L89" s="125">
        <v>44248</v>
      </c>
      <c r="M89" s="2"/>
      <c r="N89" s="2"/>
      <c r="O89" s="2">
        <v>89379</v>
      </c>
      <c r="BG89" s="125">
        <v>44247</v>
      </c>
      <c r="BH89" s="2"/>
      <c r="BI89" s="2"/>
      <c r="BJ89" s="2">
        <v>89349</v>
      </c>
    </row>
    <row r="90" spans="12:62" x14ac:dyDescent="0.35">
      <c r="L90" s="125">
        <v>44249</v>
      </c>
      <c r="M90" s="2"/>
      <c r="N90" s="2"/>
      <c r="O90" s="2">
        <v>89692</v>
      </c>
      <c r="BG90" s="125">
        <v>44248</v>
      </c>
      <c r="BH90" s="2"/>
      <c r="BI90" s="2"/>
      <c r="BJ90" s="2">
        <v>89379</v>
      </c>
    </row>
    <row r="91" spans="12:62" x14ac:dyDescent="0.35">
      <c r="L91" s="125">
        <v>44250</v>
      </c>
      <c r="M91" s="2"/>
      <c r="N91" s="2"/>
      <c r="O91" s="2">
        <v>89768</v>
      </c>
      <c r="BG91" s="125">
        <v>44249</v>
      </c>
      <c r="BH91" s="2"/>
      <c r="BI91" s="2"/>
      <c r="BJ91" s="2">
        <v>89692</v>
      </c>
    </row>
    <row r="92" spans="12:62" x14ac:dyDescent="0.35">
      <c r="L92" s="125">
        <v>44251</v>
      </c>
      <c r="M92" s="2"/>
      <c r="N92" s="2"/>
      <c r="O92" s="2">
        <v>89827</v>
      </c>
      <c r="BG92" s="125">
        <v>44250</v>
      </c>
      <c r="BH92" s="2"/>
      <c r="BI92" s="2"/>
      <c r="BJ92" s="2">
        <v>89768</v>
      </c>
    </row>
    <row r="93" spans="12:62" x14ac:dyDescent="0.35">
      <c r="L93" s="125">
        <v>44252</v>
      </c>
      <c r="M93" s="2"/>
      <c r="N93" s="2"/>
      <c r="O93" s="2">
        <v>89617</v>
      </c>
      <c r="BG93" s="125">
        <v>44251</v>
      </c>
      <c r="BH93" s="2"/>
      <c r="BI93" s="2"/>
      <c r="BJ93" s="2">
        <v>89827</v>
      </c>
    </row>
    <row r="94" spans="12:62" x14ac:dyDescent="0.35">
      <c r="L94" s="125">
        <v>44253</v>
      </c>
      <c r="M94" s="2"/>
      <c r="N94" s="2"/>
      <c r="O94" s="2">
        <v>89530</v>
      </c>
      <c r="BG94" s="125">
        <v>44252</v>
      </c>
      <c r="BH94" s="2"/>
      <c r="BI94" s="2"/>
      <c r="BJ94" s="2">
        <v>89617</v>
      </c>
    </row>
    <row r="95" spans="12:62" x14ac:dyDescent="0.35">
      <c r="L95" s="125">
        <v>44254</v>
      </c>
      <c r="M95" s="2"/>
      <c r="N95" s="2"/>
      <c r="O95" s="2">
        <v>89337</v>
      </c>
      <c r="BG95" s="125">
        <v>44253</v>
      </c>
      <c r="BH95" s="2"/>
      <c r="BI95" s="2"/>
      <c r="BJ95" s="2">
        <v>89530</v>
      </c>
    </row>
    <row r="96" spans="12:62" x14ac:dyDescent="0.35">
      <c r="L96" s="125">
        <v>44255</v>
      </c>
      <c r="M96" s="2"/>
      <c r="N96" s="2"/>
      <c r="O96" s="2">
        <v>89563</v>
      </c>
      <c r="BG96" s="125">
        <v>44254</v>
      </c>
      <c r="BH96" s="2"/>
      <c r="BI96" s="2"/>
      <c r="BJ96" s="2">
        <v>89337</v>
      </c>
    </row>
    <row r="97" spans="59:62" x14ac:dyDescent="0.35">
      <c r="BG97" s="125">
        <v>44255</v>
      </c>
      <c r="BH97" s="2"/>
      <c r="BI97" s="2"/>
      <c r="BJ97" s="2">
        <v>89563</v>
      </c>
    </row>
  </sheetData>
  <mergeCells count="4">
    <mergeCell ref="W1:BD1"/>
    <mergeCell ref="G3:I3"/>
    <mergeCell ref="B1:I1"/>
    <mergeCell ref="L1:T1"/>
  </mergeCells>
  <pageMargins left="0.7" right="0.7" top="0.75" bottom="0.75" header="0.3" footer="0.3"/>
  <pageSetup paperSize="9"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EL569"/>
  <sheetViews>
    <sheetView topLeftCell="AL412" zoomScale="90" zoomScaleNormal="90" workbookViewId="0">
      <selection activeCell="AT432" sqref="AT432"/>
    </sheetView>
  </sheetViews>
  <sheetFormatPr defaultRowHeight="14.5" x14ac:dyDescent="0.35"/>
  <cols>
    <col min="1" max="1" width="3.7265625" customWidth="1"/>
    <col min="2" max="2" width="12.90625" bestFit="1" customWidth="1"/>
    <col min="3" max="3" width="10.26953125" bestFit="1" customWidth="1"/>
    <col min="4" max="4" width="8.81640625" bestFit="1" customWidth="1"/>
    <col min="9" max="9" width="12.90625" bestFit="1" customWidth="1"/>
    <col min="10" max="10" width="15.81640625" bestFit="1" customWidth="1"/>
    <col min="11" max="11" width="8.81640625" bestFit="1" customWidth="1"/>
    <col min="12" max="12" width="8.6328125" bestFit="1" customWidth="1"/>
    <col min="13" max="15" width="8.81640625" bestFit="1" customWidth="1"/>
    <col min="16" max="16" width="22.453125" bestFit="1" customWidth="1"/>
    <col min="17" max="17" width="8.81640625" bestFit="1" customWidth="1"/>
    <col min="18" max="18" width="10.7265625" bestFit="1" customWidth="1"/>
    <col min="19" max="19" width="8.81640625" bestFit="1" customWidth="1"/>
    <col min="20" max="20" width="9.90625" bestFit="1" customWidth="1"/>
    <col min="21" max="21" width="8.81640625" bestFit="1" customWidth="1"/>
    <col min="22" max="22" width="10.7265625" bestFit="1" customWidth="1"/>
    <col min="23" max="23" width="8.81640625" bestFit="1" customWidth="1"/>
    <col min="24" max="24" width="13.6328125" bestFit="1" customWidth="1"/>
    <col min="25" max="25" width="13.7265625" bestFit="1" customWidth="1"/>
    <col min="38" max="38" width="67.54296875" bestFit="1" customWidth="1"/>
    <col min="39" max="39" width="15.81640625" bestFit="1" customWidth="1"/>
    <col min="40" max="40" width="7.90625" bestFit="1" customWidth="1"/>
    <col min="41" max="41" width="8.36328125" bestFit="1" customWidth="1"/>
    <col min="42" max="42" width="7.08984375" bestFit="1" customWidth="1"/>
    <col min="43" max="43" width="8.6328125" bestFit="1" customWidth="1"/>
    <col min="44" max="44" width="7.90625" bestFit="1" customWidth="1"/>
    <col min="45" max="45" width="10.81640625" bestFit="1" customWidth="1"/>
    <col min="46" max="46" width="12.08984375" bestFit="1" customWidth="1"/>
    <col min="47" max="47" width="9" bestFit="1" customWidth="1"/>
    <col min="48" max="48" width="7.90625" bestFit="1" customWidth="1"/>
    <col min="49" max="49" width="8.36328125" bestFit="1" customWidth="1"/>
    <col min="50" max="50" width="7.08984375" bestFit="1" customWidth="1"/>
    <col min="51" max="51" width="8.6328125" bestFit="1" customWidth="1"/>
    <col min="52" max="52" width="7.90625" bestFit="1" customWidth="1"/>
    <col min="53" max="53" width="10.81640625" bestFit="1" customWidth="1"/>
    <col min="54" max="54" width="12.08984375" bestFit="1" customWidth="1"/>
    <col min="55" max="55" width="9" bestFit="1" customWidth="1"/>
    <col min="56" max="56" width="7.90625" bestFit="1" customWidth="1"/>
    <col min="57" max="57" width="8.36328125" bestFit="1" customWidth="1"/>
    <col min="58" max="58" width="7.08984375" bestFit="1" customWidth="1"/>
    <col min="59" max="59" width="8.6328125" bestFit="1" customWidth="1"/>
    <col min="60" max="60" width="7.90625" bestFit="1" customWidth="1"/>
    <col min="61" max="61" width="10.81640625" bestFit="1" customWidth="1"/>
    <col min="62" max="62" width="12.08984375" bestFit="1" customWidth="1"/>
    <col min="63" max="63" width="9" bestFit="1" customWidth="1"/>
    <col min="64" max="64" width="7.90625" bestFit="1" customWidth="1"/>
    <col min="65" max="65" width="8.36328125" bestFit="1" customWidth="1"/>
    <col min="66" max="66" width="7.08984375" bestFit="1" customWidth="1"/>
    <col min="67" max="67" width="8.6328125" bestFit="1" customWidth="1"/>
    <col min="68" max="68" width="7.90625" bestFit="1" customWidth="1"/>
    <col min="69" max="69" width="10.81640625" bestFit="1" customWidth="1"/>
    <col min="70" max="70" width="12.08984375" bestFit="1" customWidth="1"/>
    <col min="71" max="71" width="9" bestFit="1" customWidth="1"/>
    <col min="72" max="72" width="7.90625" bestFit="1" customWidth="1"/>
    <col min="73" max="73" width="8.36328125" bestFit="1" customWidth="1"/>
    <col min="74" max="74" width="7.08984375" bestFit="1" customWidth="1"/>
    <col min="75" max="75" width="8.6328125" bestFit="1" customWidth="1"/>
    <col min="76" max="76" width="7.90625" bestFit="1" customWidth="1"/>
    <col min="77" max="77" width="10.81640625" bestFit="1" customWidth="1"/>
    <col min="78" max="78" width="12.08984375" bestFit="1" customWidth="1"/>
    <col min="79" max="79" width="9" bestFit="1" customWidth="1"/>
    <col min="80" max="80" width="7.90625" bestFit="1" customWidth="1"/>
    <col min="81" max="81" width="8.36328125" bestFit="1" customWidth="1"/>
    <col min="82" max="82" width="7.1796875" bestFit="1" customWidth="1"/>
    <col min="83" max="83" width="8.6328125" bestFit="1" customWidth="1"/>
    <col min="84" max="84" width="7.90625" bestFit="1" customWidth="1"/>
    <col min="85" max="85" width="10.81640625" bestFit="1" customWidth="1"/>
    <col min="86" max="86" width="12.08984375" bestFit="1" customWidth="1"/>
    <col min="87" max="87" width="9" bestFit="1" customWidth="1"/>
    <col min="88" max="88" width="7.90625" bestFit="1" customWidth="1"/>
    <col min="89" max="89" width="8.36328125" bestFit="1" customWidth="1"/>
    <col min="90" max="90" width="7.1796875" bestFit="1" customWidth="1"/>
    <col min="91" max="91" width="8.6328125" bestFit="1" customWidth="1"/>
    <col min="92" max="92" width="7.90625" bestFit="1" customWidth="1"/>
    <col min="93" max="93" width="10.81640625" bestFit="1" customWidth="1"/>
    <col min="94" max="94" width="12.26953125" bestFit="1" customWidth="1"/>
    <col min="95" max="95" width="9" bestFit="1" customWidth="1"/>
    <col min="96" max="96" width="7.90625" bestFit="1" customWidth="1"/>
    <col min="97" max="97" width="8.36328125" bestFit="1" customWidth="1"/>
    <col min="98" max="98" width="7.1796875" bestFit="1" customWidth="1"/>
    <col min="99" max="99" width="8.6328125" bestFit="1" customWidth="1"/>
    <col min="100" max="100" width="7.90625" bestFit="1" customWidth="1"/>
    <col min="101" max="101" width="10.81640625" bestFit="1" customWidth="1"/>
    <col min="102" max="102" width="12.08984375" bestFit="1" customWidth="1"/>
    <col min="103" max="103" width="9" bestFit="1" customWidth="1"/>
    <col min="104" max="104" width="7.90625" bestFit="1" customWidth="1"/>
    <col min="105" max="105" width="8.36328125" bestFit="1" customWidth="1"/>
    <col min="106" max="106" width="7.1796875" bestFit="1" customWidth="1"/>
    <col min="107" max="107" width="8.6328125" bestFit="1" customWidth="1"/>
    <col min="108" max="108" width="7.90625" bestFit="1" customWidth="1"/>
    <col min="109" max="109" width="10.81640625" bestFit="1" customWidth="1"/>
    <col min="110" max="110" width="12.08984375" bestFit="1" customWidth="1"/>
    <col min="111" max="111" width="10" bestFit="1" customWidth="1"/>
    <col min="112" max="112" width="8.6328125" bestFit="1" customWidth="1"/>
    <col min="113" max="113" width="8.36328125" bestFit="1" customWidth="1"/>
    <col min="114" max="114" width="8.1796875" bestFit="1" customWidth="1"/>
    <col min="115" max="115" width="8.6328125" bestFit="1" customWidth="1"/>
    <col min="116" max="116" width="8.1796875" bestFit="1" customWidth="1"/>
    <col min="117" max="117" width="10.81640625" bestFit="1" customWidth="1"/>
    <col min="118" max="118" width="13.453125" bestFit="1" customWidth="1"/>
    <col min="119" max="119" width="10" bestFit="1" customWidth="1"/>
    <col min="120" max="120" width="8.1796875" bestFit="1" customWidth="1"/>
    <col min="121" max="121" width="8.36328125" bestFit="1" customWidth="1"/>
    <col min="122" max="122" width="8.1796875" bestFit="1" customWidth="1"/>
    <col min="123" max="123" width="8.6328125" bestFit="1" customWidth="1"/>
    <col min="124" max="124" width="8.1796875" bestFit="1" customWidth="1"/>
    <col min="125" max="125" width="10.81640625" bestFit="1" customWidth="1"/>
    <col min="126" max="126" width="13.1796875" bestFit="1" customWidth="1"/>
    <col min="127" max="127" width="10" bestFit="1" customWidth="1"/>
    <col min="128" max="128" width="8.1796875" bestFit="1" customWidth="1"/>
    <col min="129" max="129" width="8.36328125" bestFit="1" customWidth="1"/>
    <col min="130" max="130" width="8.1796875" bestFit="1" customWidth="1"/>
    <col min="131" max="131" width="8.6328125" bestFit="1" customWidth="1"/>
    <col min="132" max="132" width="8.1796875" bestFit="1" customWidth="1"/>
    <col min="133" max="133" width="10.81640625" bestFit="1" customWidth="1"/>
    <col min="134" max="134" width="13.453125" bestFit="1" customWidth="1"/>
    <col min="135" max="135" width="10" bestFit="1" customWidth="1"/>
    <col min="136" max="136" width="8.1796875" bestFit="1" customWidth="1"/>
    <col min="137" max="137" width="8.36328125" bestFit="1" customWidth="1"/>
    <col min="138" max="138" width="8.1796875" bestFit="1" customWidth="1"/>
    <col min="139" max="139" width="8.6328125" bestFit="1" customWidth="1"/>
    <col min="140" max="140" width="8.1796875" bestFit="1" customWidth="1"/>
    <col min="141" max="141" width="10.81640625" bestFit="1" customWidth="1"/>
    <col min="142" max="142" width="13.1796875" bestFit="1" customWidth="1"/>
  </cols>
  <sheetData>
    <row r="1" spans="2:142" s="17" customFormat="1" ht="14.5" customHeight="1" x14ac:dyDescent="0.35">
      <c r="B1" s="43" t="s">
        <v>271</v>
      </c>
      <c r="C1" s="40"/>
      <c r="D1" s="40"/>
      <c r="E1" s="40"/>
      <c r="F1" s="40"/>
      <c r="G1" s="40"/>
      <c r="H1" s="37"/>
      <c r="I1" s="181" t="s">
        <v>272</v>
      </c>
      <c r="J1" s="181"/>
      <c r="K1" s="181"/>
      <c r="L1" s="181"/>
      <c r="M1" s="181"/>
      <c r="N1" s="181"/>
      <c r="O1" s="181"/>
      <c r="P1" s="181"/>
      <c r="Q1" s="181"/>
      <c r="R1" s="181"/>
      <c r="S1" s="181"/>
      <c r="T1" s="181"/>
      <c r="U1" s="181"/>
      <c r="V1" s="181"/>
      <c r="W1" s="181"/>
      <c r="X1" s="181"/>
      <c r="Y1" s="181"/>
      <c r="Z1" s="181"/>
      <c r="AA1" s="181"/>
      <c r="AB1" s="181"/>
      <c r="AC1" s="181"/>
      <c r="AD1" s="181"/>
      <c r="AE1" s="46"/>
      <c r="AF1" s="46"/>
      <c r="AG1" s="46"/>
      <c r="AH1" s="46"/>
    </row>
    <row r="2" spans="2:142" x14ac:dyDescent="0.35">
      <c r="CI2">
        <v>7</v>
      </c>
      <c r="CJ2">
        <v>8</v>
      </c>
      <c r="CK2">
        <v>9</v>
      </c>
      <c r="CL2">
        <v>10</v>
      </c>
      <c r="CM2">
        <v>11</v>
      </c>
      <c r="CN2">
        <v>12</v>
      </c>
      <c r="CO2">
        <v>13</v>
      </c>
    </row>
    <row r="3" spans="2:142" x14ac:dyDescent="0.35">
      <c r="B3" s="18" t="s">
        <v>40</v>
      </c>
      <c r="C3" t="s" vm="1">
        <v>435</v>
      </c>
      <c r="I3" s="18" t="s">
        <v>40</v>
      </c>
      <c r="J3" t="s" vm="1">
        <v>435</v>
      </c>
      <c r="AB3" t="s">
        <v>41</v>
      </c>
      <c r="AC3" t="s">
        <v>1</v>
      </c>
      <c r="AD3" t="s">
        <v>226</v>
      </c>
      <c r="AE3" t="s">
        <v>254</v>
      </c>
      <c r="AF3" t="s">
        <v>223</v>
      </c>
      <c r="AG3" t="s">
        <v>224</v>
      </c>
      <c r="AH3" t="s">
        <v>257</v>
      </c>
      <c r="AI3" t="s">
        <v>256</v>
      </c>
      <c r="AL3" s="18" t="s">
        <v>40</v>
      </c>
      <c r="AM3" t="s" vm="1">
        <v>435</v>
      </c>
      <c r="CI3" t="s">
        <v>241</v>
      </c>
      <c r="CJ3" t="s">
        <v>242</v>
      </c>
      <c r="CK3" t="s">
        <v>243</v>
      </c>
      <c r="CL3" t="s">
        <v>244</v>
      </c>
      <c r="CM3" t="s">
        <v>245</v>
      </c>
      <c r="CN3" t="s">
        <v>246</v>
      </c>
      <c r="CO3" t="s">
        <v>247</v>
      </c>
    </row>
    <row r="4" spans="2:142" x14ac:dyDescent="0.35">
      <c r="AA4" s="41" t="s">
        <v>43</v>
      </c>
      <c r="AB4" s="3">
        <f>(VLOOKUP($AA4,$I$8:$Y$1048576,17,FALSE)/VLOOKUP($AA4,$I$8:$Y$1048576,16,FALSE))</f>
        <v>0.87132848938056506</v>
      </c>
      <c r="AC4" s="3">
        <f>(VLOOKUP($AA4,$I$8:$Y$1048576,5,FALSE)/VLOOKUP($AA4,$I$8:$Y$1048576,4,FALSE))</f>
        <v>0.88572048264289216</v>
      </c>
      <c r="AD4" s="3">
        <f>(VLOOKUP($AA4,$I$8:$Y$1048576,7,FALSE)/VLOOKUP($AA4,$I$8:$Y$1048576,6,FALSE))</f>
        <v>0.85929748793156635</v>
      </c>
      <c r="AE4" s="3">
        <f>(VLOOKUP($AA4,$I$8:$Y$1048576,9,FALSE)/VLOOKUP($AA4,$I$8:$Y$1048576,8,FALSE))</f>
        <v>0.85543607018582957</v>
      </c>
      <c r="AF4" s="3">
        <f>(VLOOKUP($AA4,$I$8:$Y$1048576,13,FALSE)/VLOOKUP($AA4,$I$8:$Y$1048576,12,FALSE))</f>
        <v>0.88308492524432625</v>
      </c>
      <c r="AG4" s="3">
        <f>(VLOOKUP($AA4,$I$8:$Y$1048576,15,FALSE)/VLOOKUP($AA4,$I$8:$Y$1048576,14,FALSE))</f>
        <v>0.86572393146060256</v>
      </c>
      <c r="AH4" s="3">
        <f>(VLOOKUP($AA4,$I$8:$Y$1048576,3,FALSE)/VLOOKUP($AA4,$I$8:$Y$1048576,2,FALSE))</f>
        <v>0.88485565759314466</v>
      </c>
      <c r="AI4" s="3">
        <f>(VLOOKUP($AA4,$I$8:$Y$1048576,11,FALSE)/VLOOKUP($AA4,$I$8:$Y$1048576,10,FALSE))</f>
        <v>0.87503951341275987</v>
      </c>
      <c r="AJ4" s="3"/>
      <c r="CA4" t="s">
        <v>48</v>
      </c>
      <c r="CB4" t="s">
        <v>48</v>
      </c>
      <c r="CC4" t="s">
        <v>48</v>
      </c>
      <c r="CD4" t="s">
        <v>48</v>
      </c>
      <c r="CE4" t="s">
        <v>48</v>
      </c>
      <c r="CF4" t="s">
        <v>48</v>
      </c>
      <c r="CG4" t="s">
        <v>48</v>
      </c>
      <c r="CH4" s="17" t="s">
        <v>233</v>
      </c>
      <c r="CI4" t="s">
        <v>49</v>
      </c>
      <c r="CJ4" t="s">
        <v>49</v>
      </c>
      <c r="CK4" t="s">
        <v>49</v>
      </c>
      <c r="CL4" t="s">
        <v>49</v>
      </c>
      <c r="CM4" t="s">
        <v>49</v>
      </c>
      <c r="CN4" t="s">
        <v>49</v>
      </c>
      <c r="CO4" t="s">
        <v>49</v>
      </c>
      <c r="CP4" s="17" t="s">
        <v>234</v>
      </c>
      <c r="CQ4" t="s">
        <v>50</v>
      </c>
      <c r="CR4" t="s">
        <v>50</v>
      </c>
      <c r="CS4" t="s">
        <v>50</v>
      </c>
      <c r="CT4" t="s">
        <v>50</v>
      </c>
      <c r="CU4" t="s">
        <v>50</v>
      </c>
      <c r="CV4" t="s">
        <v>50</v>
      </c>
      <c r="CW4" t="s">
        <v>50</v>
      </c>
      <c r="CX4" s="17" t="s">
        <v>235</v>
      </c>
      <c r="CY4" t="s">
        <v>51</v>
      </c>
      <c r="CZ4" t="s">
        <v>51</v>
      </c>
      <c r="DA4" t="s">
        <v>51</v>
      </c>
      <c r="DB4" t="s">
        <v>51</v>
      </c>
      <c r="DC4" t="s">
        <v>51</v>
      </c>
      <c r="DD4" t="s">
        <v>51</v>
      </c>
      <c r="DE4" t="s">
        <v>51</v>
      </c>
      <c r="DF4" s="17" t="s">
        <v>236</v>
      </c>
      <c r="DG4" t="s">
        <v>232</v>
      </c>
      <c r="DH4" t="s">
        <v>232</v>
      </c>
      <c r="DI4" t="s">
        <v>52</v>
      </c>
      <c r="DJ4" t="s">
        <v>52</v>
      </c>
      <c r="DK4" t="s">
        <v>52</v>
      </c>
      <c r="DL4" t="s">
        <v>52</v>
      </c>
      <c r="DM4" t="s">
        <v>52</v>
      </c>
      <c r="DN4" s="17" t="s">
        <v>237</v>
      </c>
      <c r="DO4" t="s">
        <v>53</v>
      </c>
      <c r="DP4" t="s">
        <v>53</v>
      </c>
      <c r="DQ4" t="s">
        <v>53</v>
      </c>
      <c r="DR4" t="s">
        <v>53</v>
      </c>
      <c r="DS4" t="s">
        <v>53</v>
      </c>
      <c r="DT4" t="s">
        <v>53</v>
      </c>
      <c r="DU4" t="s">
        <v>53</v>
      </c>
      <c r="DV4" s="17" t="s">
        <v>238</v>
      </c>
      <c r="DW4" t="s">
        <v>54</v>
      </c>
      <c r="DX4" t="s">
        <v>54</v>
      </c>
      <c r="DY4" t="s">
        <v>54</v>
      </c>
      <c r="DZ4" t="s">
        <v>54</v>
      </c>
      <c r="EA4" t="s">
        <v>54</v>
      </c>
      <c r="EB4" t="s">
        <v>54</v>
      </c>
      <c r="EC4" t="s">
        <v>54</v>
      </c>
      <c r="ED4" s="17" t="s">
        <v>239</v>
      </c>
      <c r="EE4" t="s">
        <v>55</v>
      </c>
      <c r="EF4" t="s">
        <v>55</v>
      </c>
      <c r="EG4" t="s">
        <v>55</v>
      </c>
      <c r="EH4" t="s">
        <v>55</v>
      </c>
      <c r="EI4" t="s">
        <v>55</v>
      </c>
      <c r="EJ4" t="s">
        <v>55</v>
      </c>
      <c r="EK4" t="s">
        <v>55</v>
      </c>
      <c r="EL4" s="17" t="s">
        <v>240</v>
      </c>
    </row>
    <row r="5" spans="2:142" x14ac:dyDescent="0.35">
      <c r="B5" s="18" t="s">
        <v>38</v>
      </c>
      <c r="C5" t="s">
        <v>58</v>
      </c>
      <c r="D5" t="s">
        <v>60</v>
      </c>
      <c r="H5" s="3"/>
      <c r="J5" s="18" t="s">
        <v>42</v>
      </c>
      <c r="Z5" s="3"/>
      <c r="AA5" s="41" t="s">
        <v>44</v>
      </c>
      <c r="AB5" s="3">
        <f t="shared" ref="AB5:AB15" si="0">(VLOOKUP($AA5,$I$8:$Y$1048576,17,FALSE)/VLOOKUP($AA5,$I$8:$Y$1048576,16,FALSE))</f>
        <v>0.88944465840683073</v>
      </c>
      <c r="AC5" s="3">
        <f t="shared" ref="AC5:AC16" si="1">(VLOOKUP($AA5,$I$8:$Y$1048576,5,FALSE)/VLOOKUP($AA5,$I$8:$Y$1048576,4,FALSE))</f>
        <v>0.90204275319745109</v>
      </c>
      <c r="AD5" s="3">
        <f t="shared" ref="AD5:AD16" si="2">(VLOOKUP($AA5,$I$8:$Y$1048576,7,FALSE)/VLOOKUP($AA5,$I$8:$Y$1048576,6,FALSE))</f>
        <v>0.8754480957490165</v>
      </c>
      <c r="AE5" s="3">
        <f t="shared" ref="AE5:AE16" si="3">(VLOOKUP($AA5,$I$8:$Y$1048576,9,FALSE)/VLOOKUP($AA5,$I$8:$Y$1048576,8,FALSE))</f>
        <v>0.87617739765165614</v>
      </c>
      <c r="AF5" s="3">
        <f t="shared" ref="AF5:AF16" si="4">(VLOOKUP($AA5,$I$8:$Y$1048576,13,FALSE)/VLOOKUP($AA5,$I$8:$Y$1048576,12,FALSE))</f>
        <v>0.90237004487658934</v>
      </c>
      <c r="AG5" s="3">
        <f t="shared" ref="AG5:AG16" si="5">(VLOOKUP($AA5,$I$8:$Y$1048576,15,FALSE)/VLOOKUP($AA5,$I$8:$Y$1048576,14,FALSE))</f>
        <v>0.89355031823051234</v>
      </c>
      <c r="AH5" s="3">
        <f t="shared" ref="AH5:AH16" si="6">(VLOOKUP($AA5,$I$8:$Y$1048576,3,FALSE)/VLOOKUP($AA5,$I$8:$Y$1048576,2,FALSE))</f>
        <v>0.90452104779139098</v>
      </c>
      <c r="AI5" s="3">
        <f t="shared" ref="AI5:AI16" si="7">(VLOOKUP($AA5,$I$8:$Y$1048576,11,FALSE)/VLOOKUP($AA5,$I$8:$Y$1048576,10,FALSE))</f>
        <v>0.88536325714782305</v>
      </c>
      <c r="AL5" s="18" t="s">
        <v>202</v>
      </c>
      <c r="AM5" s="18" t="s">
        <v>42</v>
      </c>
    </row>
    <row r="6" spans="2:142" x14ac:dyDescent="0.35">
      <c r="B6" s="19">
        <v>1</v>
      </c>
      <c r="C6" s="2">
        <v>622632</v>
      </c>
      <c r="D6" s="2">
        <v>542517</v>
      </c>
      <c r="E6" s="3"/>
      <c r="F6" s="3">
        <f>D6/C6</f>
        <v>0.87132848938056506</v>
      </c>
      <c r="G6" s="3"/>
      <c r="H6" s="3"/>
      <c r="J6" t="s">
        <v>291</v>
      </c>
      <c r="L6" t="s">
        <v>1</v>
      </c>
      <c r="N6" t="s">
        <v>226</v>
      </c>
      <c r="P6" t="s">
        <v>258</v>
      </c>
      <c r="R6" t="s">
        <v>255</v>
      </c>
      <c r="T6" t="s">
        <v>223</v>
      </c>
      <c r="V6" t="s">
        <v>224</v>
      </c>
      <c r="X6" t="s">
        <v>57</v>
      </c>
      <c r="Y6" t="s">
        <v>59</v>
      </c>
      <c r="Z6" s="3"/>
      <c r="AA6" s="41" t="s">
        <v>45</v>
      </c>
      <c r="AB6" s="3">
        <f t="shared" si="0"/>
        <v>0.88805132036518131</v>
      </c>
      <c r="AC6" s="3">
        <f t="shared" si="1"/>
        <v>0.90572871556640389</v>
      </c>
      <c r="AD6" s="3">
        <f t="shared" si="2"/>
        <v>0.87695747581208228</v>
      </c>
      <c r="AE6" s="3">
        <f t="shared" si="3"/>
        <v>0.87366300938997365</v>
      </c>
      <c r="AF6" s="3">
        <f t="shared" si="4"/>
        <v>0.90008146165483538</v>
      </c>
      <c r="AG6" s="3">
        <f t="shared" si="5"/>
        <v>0.89236247892472775</v>
      </c>
      <c r="AH6" s="3">
        <f t="shared" si="6"/>
        <v>0.89579067454513539</v>
      </c>
      <c r="AI6" s="3">
        <f t="shared" si="7"/>
        <v>0.88252167677162785</v>
      </c>
      <c r="AM6" t="s">
        <v>43</v>
      </c>
      <c r="AT6" t="s">
        <v>201</v>
      </c>
      <c r="AU6" t="s">
        <v>44</v>
      </c>
      <c r="BB6" t="s">
        <v>439</v>
      </c>
      <c r="BC6" t="s">
        <v>45</v>
      </c>
      <c r="BJ6" t="s">
        <v>440</v>
      </c>
      <c r="BK6" t="s">
        <v>46</v>
      </c>
      <c r="BR6" t="s">
        <v>441</v>
      </c>
      <c r="BS6" t="s">
        <v>47</v>
      </c>
      <c r="BZ6" t="s">
        <v>442</v>
      </c>
      <c r="CA6" t="s">
        <v>48</v>
      </c>
      <c r="CH6" t="s">
        <v>443</v>
      </c>
      <c r="CI6" t="s">
        <v>49</v>
      </c>
      <c r="CP6" t="s">
        <v>445</v>
      </c>
      <c r="CQ6" t="s">
        <v>50</v>
      </c>
      <c r="CX6" t="s">
        <v>624</v>
      </c>
      <c r="CY6" t="s">
        <v>51</v>
      </c>
      <c r="DF6" t="s">
        <v>627</v>
      </c>
      <c r="DG6" t="s">
        <v>52</v>
      </c>
      <c r="DN6" t="s">
        <v>628</v>
      </c>
      <c r="DO6" t="s">
        <v>53</v>
      </c>
      <c r="DV6" t="s">
        <v>629</v>
      </c>
      <c r="DW6" t="s">
        <v>54</v>
      </c>
      <c r="ED6" t="s">
        <v>631</v>
      </c>
      <c r="EE6" t="s">
        <v>55</v>
      </c>
      <c r="EL6" t="s">
        <v>632</v>
      </c>
    </row>
    <row r="7" spans="2:142" x14ac:dyDescent="0.35">
      <c r="B7" s="19">
        <v>2</v>
      </c>
      <c r="C7" s="2">
        <v>625759</v>
      </c>
      <c r="D7" s="2">
        <v>556578</v>
      </c>
      <c r="E7" s="3"/>
      <c r="F7" s="3">
        <f>D7/C7</f>
        <v>0.88944465840683073</v>
      </c>
      <c r="G7" s="3"/>
      <c r="H7" s="3"/>
      <c r="I7" s="18" t="s">
        <v>38</v>
      </c>
      <c r="J7" t="s">
        <v>58</v>
      </c>
      <c r="K7" t="s">
        <v>60</v>
      </c>
      <c r="L7" t="s">
        <v>58</v>
      </c>
      <c r="M7" t="s">
        <v>60</v>
      </c>
      <c r="N7" t="s">
        <v>58</v>
      </c>
      <c r="O7" t="s">
        <v>60</v>
      </c>
      <c r="P7" t="s">
        <v>58</v>
      </c>
      <c r="Q7" t="s">
        <v>60</v>
      </c>
      <c r="R7" t="s">
        <v>58</v>
      </c>
      <c r="S7" t="s">
        <v>60</v>
      </c>
      <c r="T7" t="s">
        <v>58</v>
      </c>
      <c r="U7" t="s">
        <v>60</v>
      </c>
      <c r="V7" t="s">
        <v>58</v>
      </c>
      <c r="W7" t="s">
        <v>60</v>
      </c>
      <c r="Z7" s="3"/>
      <c r="AA7" s="41" t="s">
        <v>46</v>
      </c>
      <c r="AB7" s="3">
        <f t="shared" si="0"/>
        <v>0.82878958398013036</v>
      </c>
      <c r="AC7" s="3">
        <f t="shared" si="1"/>
        <v>0.8697753410917215</v>
      </c>
      <c r="AD7" s="3">
        <f t="shared" si="2"/>
        <v>0.81531396125584499</v>
      </c>
      <c r="AE7" s="3">
        <f t="shared" si="3"/>
        <v>0.79578337385989917</v>
      </c>
      <c r="AF7" s="3">
        <f t="shared" si="4"/>
        <v>0.84637790986809391</v>
      </c>
      <c r="AG7" s="3">
        <f t="shared" si="5"/>
        <v>0.82512637477995443</v>
      </c>
      <c r="AH7" s="3">
        <f t="shared" si="6"/>
        <v>0.84174390662547205</v>
      </c>
      <c r="AI7" s="3">
        <f t="shared" si="7"/>
        <v>0.82252022608888398</v>
      </c>
      <c r="AL7" s="18" t="s">
        <v>38</v>
      </c>
      <c r="AM7" t="s">
        <v>194</v>
      </c>
      <c r="AN7" t="s">
        <v>195</v>
      </c>
      <c r="AO7" t="s">
        <v>196</v>
      </c>
      <c r="AP7" t="s">
        <v>197</v>
      </c>
      <c r="AQ7" t="s">
        <v>198</v>
      </c>
      <c r="AR7" t="s">
        <v>199</v>
      </c>
      <c r="AS7" t="s">
        <v>200</v>
      </c>
      <c r="AU7" t="s">
        <v>194</v>
      </c>
      <c r="AV7" t="s">
        <v>195</v>
      </c>
      <c r="AW7" t="s">
        <v>196</v>
      </c>
      <c r="AX7" t="s">
        <v>197</v>
      </c>
      <c r="AY7" t="s">
        <v>198</v>
      </c>
      <c r="AZ7" t="s">
        <v>199</v>
      </c>
      <c r="BA7" t="s">
        <v>200</v>
      </c>
      <c r="BC7" t="s">
        <v>194</v>
      </c>
      <c r="BD7" t="s">
        <v>195</v>
      </c>
      <c r="BE7" t="s">
        <v>196</v>
      </c>
      <c r="BF7" t="s">
        <v>197</v>
      </c>
      <c r="BG7" t="s">
        <v>198</v>
      </c>
      <c r="BH7" t="s">
        <v>199</v>
      </c>
      <c r="BI7" t="s">
        <v>200</v>
      </c>
      <c r="BK7" t="s">
        <v>194</v>
      </c>
      <c r="BL7" t="s">
        <v>195</v>
      </c>
      <c r="BM7" t="s">
        <v>196</v>
      </c>
      <c r="BN7" t="s">
        <v>197</v>
      </c>
      <c r="BO7" t="s">
        <v>198</v>
      </c>
      <c r="BP7" t="s">
        <v>199</v>
      </c>
      <c r="BQ7" t="s">
        <v>200</v>
      </c>
      <c r="BS7" t="s">
        <v>194</v>
      </c>
      <c r="BT7" t="s">
        <v>195</v>
      </c>
      <c r="BU7" t="s">
        <v>196</v>
      </c>
      <c r="BV7" t="s">
        <v>197</v>
      </c>
      <c r="BW7" t="s">
        <v>198</v>
      </c>
      <c r="BX7" t="s">
        <v>199</v>
      </c>
      <c r="BY7" t="s">
        <v>200</v>
      </c>
      <c r="CA7" t="s">
        <v>194</v>
      </c>
      <c r="CB7" t="s">
        <v>195</v>
      </c>
      <c r="CC7" t="s">
        <v>196</v>
      </c>
      <c r="CD7" t="s">
        <v>197</v>
      </c>
      <c r="CE7" t="s">
        <v>198</v>
      </c>
      <c r="CF7" t="s">
        <v>199</v>
      </c>
      <c r="CG7" t="s">
        <v>200</v>
      </c>
      <c r="CI7" t="s">
        <v>194</v>
      </c>
      <c r="CJ7" t="s">
        <v>195</v>
      </c>
      <c r="CK7" t="s">
        <v>196</v>
      </c>
      <c r="CL7" t="s">
        <v>197</v>
      </c>
      <c r="CM7" t="s">
        <v>198</v>
      </c>
      <c r="CN7" t="s">
        <v>199</v>
      </c>
      <c r="CO7" t="s">
        <v>200</v>
      </c>
      <c r="CQ7" t="s">
        <v>194</v>
      </c>
      <c r="CR7" t="s">
        <v>195</v>
      </c>
      <c r="CS7" t="s">
        <v>196</v>
      </c>
      <c r="CT7" t="s">
        <v>197</v>
      </c>
      <c r="CU7" t="s">
        <v>198</v>
      </c>
      <c r="CV7" t="s">
        <v>199</v>
      </c>
      <c r="CW7" t="s">
        <v>200</v>
      </c>
      <c r="CY7" t="s">
        <v>194</v>
      </c>
      <c r="CZ7" t="s">
        <v>195</v>
      </c>
      <c r="DA7" t="s">
        <v>196</v>
      </c>
      <c r="DB7" t="s">
        <v>197</v>
      </c>
      <c r="DC7" t="s">
        <v>198</v>
      </c>
      <c r="DD7" t="s">
        <v>199</v>
      </c>
      <c r="DE7" t="s">
        <v>200</v>
      </c>
      <c r="DG7" t="s">
        <v>194</v>
      </c>
      <c r="DH7" t="s">
        <v>195</v>
      </c>
      <c r="DI7" t="s">
        <v>196</v>
      </c>
      <c r="DJ7" t="s">
        <v>197</v>
      </c>
      <c r="DK7" t="s">
        <v>198</v>
      </c>
      <c r="DL7" t="s">
        <v>199</v>
      </c>
      <c r="DM7" t="s">
        <v>200</v>
      </c>
      <c r="DO7" t="s">
        <v>194</v>
      </c>
      <c r="DP7" t="s">
        <v>195</v>
      </c>
      <c r="DQ7" t="s">
        <v>196</v>
      </c>
      <c r="DR7" t="s">
        <v>197</v>
      </c>
      <c r="DS7" t="s">
        <v>198</v>
      </c>
      <c r="DT7" t="s">
        <v>199</v>
      </c>
      <c r="DU7" t="s">
        <v>200</v>
      </c>
      <c r="DW7" t="s">
        <v>194</v>
      </c>
      <c r="DX7" t="s">
        <v>195</v>
      </c>
      <c r="DY7" t="s">
        <v>196</v>
      </c>
      <c r="DZ7" t="s">
        <v>197</v>
      </c>
      <c r="EA7" t="s">
        <v>198</v>
      </c>
      <c r="EB7" t="s">
        <v>199</v>
      </c>
      <c r="EC7" t="s">
        <v>200</v>
      </c>
      <c r="EE7" t="s">
        <v>194</v>
      </c>
      <c r="EF7" t="s">
        <v>195</v>
      </c>
      <c r="EG7" t="s">
        <v>196</v>
      </c>
      <c r="EH7" t="s">
        <v>197</v>
      </c>
      <c r="EI7" t="s">
        <v>198</v>
      </c>
      <c r="EJ7" t="s">
        <v>199</v>
      </c>
      <c r="EK7" t="s">
        <v>200</v>
      </c>
    </row>
    <row r="8" spans="2:142" x14ac:dyDescent="0.35">
      <c r="B8" s="19">
        <v>3</v>
      </c>
      <c r="C8" s="2">
        <v>627743</v>
      </c>
      <c r="D8" s="2">
        <v>557468</v>
      </c>
      <c r="E8" s="3"/>
      <c r="F8" s="3">
        <f>D8/C8</f>
        <v>0.88805132036518131</v>
      </c>
      <c r="G8" s="3"/>
      <c r="H8" s="3"/>
      <c r="I8" s="19" t="s">
        <v>43</v>
      </c>
      <c r="J8" s="2">
        <v>66751</v>
      </c>
      <c r="K8" s="2">
        <v>59065</v>
      </c>
      <c r="L8" s="2">
        <v>87601</v>
      </c>
      <c r="M8" s="2">
        <v>77590</v>
      </c>
      <c r="N8" s="2">
        <v>119941</v>
      </c>
      <c r="O8" s="2">
        <v>103065</v>
      </c>
      <c r="P8" s="2">
        <v>108056</v>
      </c>
      <c r="Q8" s="2">
        <v>92435</v>
      </c>
      <c r="R8" s="2">
        <v>91741</v>
      </c>
      <c r="S8" s="2">
        <v>80277</v>
      </c>
      <c r="T8" s="2">
        <v>85746</v>
      </c>
      <c r="U8" s="2">
        <v>75721</v>
      </c>
      <c r="V8" s="2">
        <v>62796</v>
      </c>
      <c r="W8" s="2">
        <v>54364</v>
      </c>
      <c r="X8" s="2">
        <v>622632</v>
      </c>
      <c r="Y8" s="2">
        <v>542517</v>
      </c>
      <c r="Z8" s="3"/>
      <c r="AA8" s="41" t="s">
        <v>47</v>
      </c>
      <c r="AB8" s="3">
        <f t="shared" si="0"/>
        <v>0.86668413786050313</v>
      </c>
      <c r="AC8" s="3">
        <f t="shared" si="1"/>
        <v>0.90399774457287851</v>
      </c>
      <c r="AD8" s="3">
        <f t="shared" si="2"/>
        <v>0.85625103493955956</v>
      </c>
      <c r="AE8" s="3">
        <f t="shared" si="3"/>
        <v>0.83638522476391908</v>
      </c>
      <c r="AF8" s="3">
        <f t="shared" si="4"/>
        <v>0.87824077836733272</v>
      </c>
      <c r="AG8" s="3">
        <f t="shared" si="5"/>
        <v>0.86801215070693571</v>
      </c>
      <c r="AH8" s="3">
        <f t="shared" si="6"/>
        <v>0.87935270319970582</v>
      </c>
      <c r="AI8" s="3">
        <f t="shared" si="7"/>
        <v>0.85879371736898447</v>
      </c>
      <c r="AL8" s="19" t="s">
        <v>64</v>
      </c>
      <c r="AM8" s="31">
        <v>0.83384615384615379</v>
      </c>
      <c r="AN8" s="31">
        <v>0.84923076923076923</v>
      </c>
      <c r="AO8" s="31">
        <v>0.84307692307692306</v>
      </c>
      <c r="AP8" s="31">
        <v>0.81846153846153846</v>
      </c>
      <c r="AQ8" s="31">
        <v>0.86153846153846159</v>
      </c>
      <c r="AR8" s="31">
        <v>0.86461538461538456</v>
      </c>
      <c r="AS8" s="31">
        <v>0.85538461538461541</v>
      </c>
      <c r="AT8" s="31">
        <v>0.84659340659340654</v>
      </c>
      <c r="AU8" s="31">
        <v>0.86461538461538456</v>
      </c>
      <c r="AV8" s="31">
        <v>0.86153846153846159</v>
      </c>
      <c r="AW8" s="31">
        <v>0.8092307692307692</v>
      </c>
      <c r="AX8" s="31">
        <v>0.78153846153846152</v>
      </c>
      <c r="AY8" s="31">
        <v>0.89538461538461533</v>
      </c>
      <c r="AZ8" s="31">
        <v>0.85230769230769232</v>
      </c>
      <c r="BA8" s="31">
        <v>0.85538461538461541</v>
      </c>
      <c r="BB8" s="31">
        <v>0.84571428571428575</v>
      </c>
      <c r="BC8" s="31">
        <v>0.84307692307692306</v>
      </c>
      <c r="BD8" s="31">
        <v>0.81538461538461537</v>
      </c>
      <c r="BE8" s="31">
        <v>0.82153846153846155</v>
      </c>
      <c r="BF8" s="31">
        <v>0.85230769230769232</v>
      </c>
      <c r="BG8" s="31">
        <v>0.81846153846153846</v>
      </c>
      <c r="BH8" s="31">
        <v>0.84307692307692306</v>
      </c>
      <c r="BI8" s="31">
        <v>0.82769230769230773</v>
      </c>
      <c r="BJ8" s="31">
        <v>0.83164835164835171</v>
      </c>
      <c r="BK8" s="31">
        <v>0.65230769230769226</v>
      </c>
      <c r="BL8" s="31">
        <v>0.84307692307692306</v>
      </c>
      <c r="BM8" s="31">
        <v>0.64923076923076928</v>
      </c>
      <c r="BN8" s="31">
        <v>0.65230769230769226</v>
      </c>
      <c r="BO8" s="31">
        <v>0.72923076923076924</v>
      </c>
      <c r="BP8" s="31">
        <v>0.8584615384615385</v>
      </c>
      <c r="BQ8" s="31">
        <v>0.77538461538461534</v>
      </c>
      <c r="BR8" s="31">
        <v>0.73714285714285721</v>
      </c>
      <c r="BS8" s="31">
        <v>0.74461538461538457</v>
      </c>
      <c r="BT8" s="31">
        <v>0.70769230769230773</v>
      </c>
      <c r="BU8" s="31">
        <v>0.73538461538461541</v>
      </c>
      <c r="BV8" s="31">
        <v>0.81846153846153846</v>
      </c>
      <c r="BW8" s="31">
        <v>0.78769230769230769</v>
      </c>
      <c r="BX8" s="31">
        <v>0.72307692307692306</v>
      </c>
      <c r="BY8" s="31">
        <v>0.81230769230769229</v>
      </c>
      <c r="BZ8" s="31">
        <v>0.76131868131868141</v>
      </c>
      <c r="CA8" s="31">
        <v>0.85131195335276966</v>
      </c>
      <c r="CB8" s="31">
        <v>0.83692307692307688</v>
      </c>
      <c r="CC8" s="31">
        <v>0.83040935672514615</v>
      </c>
      <c r="CD8" s="31">
        <v>0.84210526315789469</v>
      </c>
      <c r="CE8" s="31">
        <v>0.86337209302325579</v>
      </c>
      <c r="CF8" s="31">
        <v>0.87384615384615383</v>
      </c>
      <c r="CG8" s="31">
        <v>0.84302325581395354</v>
      </c>
      <c r="CH8" s="31">
        <v>0.84871302183460717</v>
      </c>
      <c r="CI8" s="31">
        <v>0.84883720930232553</v>
      </c>
      <c r="CJ8" s="31">
        <v>0.84057971014492749</v>
      </c>
      <c r="CK8" s="31">
        <v>0.81578947368421051</v>
      </c>
      <c r="CL8" s="31">
        <v>0.80579710144927541</v>
      </c>
      <c r="CM8" s="31">
        <v>0.83090379008746351</v>
      </c>
      <c r="CN8" s="31">
        <v>0.84347826086956523</v>
      </c>
      <c r="CO8" s="31">
        <v>0.81686046511627908</v>
      </c>
      <c r="CP8" s="31">
        <v>0.82889228723629238</v>
      </c>
      <c r="CQ8" s="31">
        <v>0.83918128654970758</v>
      </c>
      <c r="CR8" s="31">
        <v>0.84637681159420286</v>
      </c>
      <c r="CS8" s="31">
        <v>0.86046511627906974</v>
      </c>
      <c r="CT8" s="31">
        <v>0.81924198250728864</v>
      </c>
      <c r="CU8" s="31">
        <v>0.82163742690058483</v>
      </c>
      <c r="CV8" s="31">
        <v>0.84302325581395354</v>
      </c>
      <c r="CW8" s="31">
        <v>0.8691860465116279</v>
      </c>
      <c r="CX8" s="31">
        <v>0.84273027516520493</v>
      </c>
      <c r="CY8" s="31">
        <v>0.79824561403508776</v>
      </c>
      <c r="CZ8" s="31">
        <v>0.8666666666666667</v>
      </c>
      <c r="DA8" s="31">
        <v>0.81104651162790697</v>
      </c>
      <c r="DB8" s="31">
        <v>0.82028985507246377</v>
      </c>
      <c r="DC8" s="31">
        <v>0.82798833819241979</v>
      </c>
      <c r="DD8" s="31">
        <v>0.86880466472303208</v>
      </c>
      <c r="DE8" s="31">
        <v>0.85087719298245612</v>
      </c>
      <c r="DF8" s="31">
        <v>0.83484554904286179</v>
      </c>
      <c r="DG8" s="31">
        <v>0.81976744186046513</v>
      </c>
      <c r="DH8" s="31">
        <v>0.88338192419825068</v>
      </c>
      <c r="DI8" s="31">
        <v>0.77034883720930236</v>
      </c>
      <c r="DJ8" s="31">
        <v>0.78717201166180761</v>
      </c>
      <c r="DK8" s="31">
        <v>0.78947368421052633</v>
      </c>
      <c r="DL8" s="31">
        <v>0.86880466472303208</v>
      </c>
      <c r="DM8" s="31">
        <v>0.82163742690058483</v>
      </c>
      <c r="DN8" s="31">
        <v>0.82008371296628124</v>
      </c>
      <c r="DO8" s="31">
        <v>0.80409356725146197</v>
      </c>
      <c r="DP8" s="31">
        <v>0.83090379008746351</v>
      </c>
      <c r="DQ8" s="31">
        <v>0.80466472303206993</v>
      </c>
      <c r="DR8" s="31">
        <v>0.8099415204678363</v>
      </c>
      <c r="DS8" s="31">
        <v>0.8099415204678363</v>
      </c>
      <c r="DT8" s="31">
        <v>0.82748538011695905</v>
      </c>
      <c r="DU8" s="31">
        <v>0.85672514619883045</v>
      </c>
      <c r="DV8" s="31">
        <v>0.8205365210889225</v>
      </c>
      <c r="DW8" s="31">
        <v>0.87755102040816324</v>
      </c>
      <c r="DX8" s="31">
        <v>0.82215743440233235</v>
      </c>
      <c r="DY8" s="31">
        <v>0.83673469387755106</v>
      </c>
      <c r="DZ8" s="31">
        <v>0.86297376093294464</v>
      </c>
      <c r="EA8" s="31">
        <v>0.85380116959064323</v>
      </c>
      <c r="EB8" s="31">
        <v>0.82708933717579247</v>
      </c>
      <c r="EC8" s="31">
        <v>0.87134502923976609</v>
      </c>
      <c r="ED8" s="31">
        <v>0.85023606366102755</v>
      </c>
      <c r="EE8" s="31">
        <v>0.83965014577259478</v>
      </c>
      <c r="EF8" s="31">
        <v>0.86705202312138729</v>
      </c>
      <c r="EG8" s="31">
        <v>0.80701754385964908</v>
      </c>
      <c r="EH8" s="31">
        <v>0.80409356725146197</v>
      </c>
      <c r="EI8" s="31">
        <v>0.87755102040816324</v>
      </c>
      <c r="EJ8" s="31">
        <v>0.84302325581395354</v>
      </c>
      <c r="EK8" s="31">
        <v>0.81924198250728864</v>
      </c>
      <c r="EL8" s="31">
        <v>0.83680421981921416</v>
      </c>
    </row>
    <row r="9" spans="2:142" x14ac:dyDescent="0.35">
      <c r="B9" s="19">
        <v>4</v>
      </c>
      <c r="C9" s="2">
        <v>618432</v>
      </c>
      <c r="D9" s="2">
        <v>512550</v>
      </c>
      <c r="E9" s="3"/>
      <c r="F9" s="3">
        <f t="shared" ref="F9:F20" si="8">D9/C9</f>
        <v>0.82878958398013036</v>
      </c>
      <c r="G9" s="3"/>
      <c r="H9" s="3"/>
      <c r="I9" s="19" t="s">
        <v>52</v>
      </c>
      <c r="J9" s="2">
        <v>67220</v>
      </c>
      <c r="K9" s="2">
        <v>58480</v>
      </c>
      <c r="L9" s="2">
        <v>87226</v>
      </c>
      <c r="M9" s="2">
        <v>76323</v>
      </c>
      <c r="N9" s="2">
        <v>123078</v>
      </c>
      <c r="O9" s="2">
        <v>106225</v>
      </c>
      <c r="P9" s="2">
        <v>110547</v>
      </c>
      <c r="Q9" s="2">
        <v>93718</v>
      </c>
      <c r="R9" s="2">
        <v>95910</v>
      </c>
      <c r="S9" s="2">
        <v>81282</v>
      </c>
      <c r="T9" s="2">
        <v>86074</v>
      </c>
      <c r="U9" s="2">
        <v>74566</v>
      </c>
      <c r="V9" s="2">
        <v>63718</v>
      </c>
      <c r="W9" s="2">
        <v>55037</v>
      </c>
      <c r="X9" s="2">
        <v>633773</v>
      </c>
      <c r="Y9" s="2">
        <v>545631</v>
      </c>
      <c r="Z9" s="3"/>
      <c r="AA9" s="20" t="s">
        <v>48</v>
      </c>
      <c r="AB9" s="3">
        <f t="shared" si="0"/>
        <v>0.88654682863035061</v>
      </c>
      <c r="AC9" s="3">
        <f t="shared" si="1"/>
        <v>0.90802635057724512</v>
      </c>
      <c r="AD9" s="3">
        <f t="shared" si="2"/>
        <v>0.87690916644265782</v>
      </c>
      <c r="AE9" s="3">
        <f t="shared" si="3"/>
        <v>0.87258367190773767</v>
      </c>
      <c r="AF9" s="3">
        <f t="shared" si="4"/>
        <v>0.89332969270851115</v>
      </c>
      <c r="AG9" s="3">
        <f t="shared" si="5"/>
        <v>0.89266287357759155</v>
      </c>
      <c r="AH9" s="3">
        <f t="shared" si="6"/>
        <v>0.88915295015110174</v>
      </c>
      <c r="AI9" s="3">
        <f t="shared" si="7"/>
        <v>0.88224903059026283</v>
      </c>
      <c r="AL9" s="19" t="s">
        <v>65</v>
      </c>
      <c r="AM9" s="31">
        <v>0.80412371134020622</v>
      </c>
      <c r="AN9" s="31">
        <v>0.76288659793814428</v>
      </c>
      <c r="AO9" s="31">
        <v>0.76288659793814428</v>
      </c>
      <c r="AP9" s="31">
        <v>0.68041237113402064</v>
      </c>
      <c r="AQ9" s="31">
        <v>0.77319587628865982</v>
      </c>
      <c r="AR9" s="31">
        <v>0.79381443298969068</v>
      </c>
      <c r="AS9" s="31">
        <v>0.75773195876288657</v>
      </c>
      <c r="AT9" s="31">
        <v>0.76215022091310747</v>
      </c>
      <c r="AU9" s="31">
        <v>0.7989690721649485</v>
      </c>
      <c r="AV9" s="31">
        <v>0.66494845360824739</v>
      </c>
      <c r="AW9" s="31">
        <v>0.81958762886597936</v>
      </c>
      <c r="AX9" s="31">
        <v>0.77835051546391754</v>
      </c>
      <c r="AY9" s="31">
        <v>0.7989690721649485</v>
      </c>
      <c r="AZ9" s="31">
        <v>0.71649484536082475</v>
      </c>
      <c r="BA9" s="31">
        <v>0.73195876288659789</v>
      </c>
      <c r="BB9" s="31">
        <v>0.75846833578792339</v>
      </c>
      <c r="BC9" s="31">
        <v>0.72164948453608246</v>
      </c>
      <c r="BD9" s="31">
        <v>0.58201058201058198</v>
      </c>
      <c r="BE9" s="31">
        <v>0.59067357512953367</v>
      </c>
      <c r="BF9" s="31">
        <v>0.54639175257731953</v>
      </c>
      <c r="BG9" s="31">
        <v>0.73711340206185572</v>
      </c>
      <c r="BH9" s="31">
        <v>0.73195876288659789</v>
      </c>
      <c r="BI9" s="31">
        <v>0.72164948453608246</v>
      </c>
      <c r="BJ9" s="31">
        <v>0.66163529196257909</v>
      </c>
      <c r="BK9" s="31">
        <v>0.53092783505154639</v>
      </c>
      <c r="BL9" s="31">
        <v>0.61855670103092786</v>
      </c>
      <c r="BM9" s="31">
        <v>0.40206185567010311</v>
      </c>
      <c r="BN9" s="31">
        <v>0.42268041237113402</v>
      </c>
      <c r="BO9" s="31">
        <v>0.55670103092783507</v>
      </c>
      <c r="BP9" s="31">
        <v>0.60309278350515461</v>
      </c>
      <c r="BQ9" s="31">
        <v>0.67010309278350511</v>
      </c>
      <c r="BR9" s="31">
        <v>0.54344624447717227</v>
      </c>
      <c r="BS9" s="31">
        <v>0.46907216494845361</v>
      </c>
      <c r="BT9" s="31">
        <v>0.45360824742268041</v>
      </c>
      <c r="BU9" s="31">
        <v>0.4484536082474227</v>
      </c>
      <c r="BV9" s="31">
        <v>0.46391752577319589</v>
      </c>
      <c r="BW9" s="31">
        <v>0.60309278350515461</v>
      </c>
      <c r="BX9" s="31">
        <v>0.45360824742268041</v>
      </c>
      <c r="BY9" s="31">
        <v>0.4845360824742268</v>
      </c>
      <c r="BZ9" s="31">
        <v>0.48232695139911641</v>
      </c>
      <c r="CA9" s="31">
        <v>0.79234972677595628</v>
      </c>
      <c r="CB9" s="31">
        <v>0.47422680412371132</v>
      </c>
      <c r="CC9" s="31">
        <v>0.78494623655913975</v>
      </c>
      <c r="CD9" s="31">
        <v>0.66137566137566139</v>
      </c>
      <c r="CE9" s="31">
        <v>0.78142076502732238</v>
      </c>
      <c r="CF9" s="31">
        <v>0.5670103092783505</v>
      </c>
      <c r="CG9" s="31">
        <v>0.77049180327868849</v>
      </c>
      <c r="CH9" s="31">
        <v>0.69026018663126154</v>
      </c>
      <c r="CI9" s="31">
        <v>0.64516129032258063</v>
      </c>
      <c r="CJ9" s="31">
        <v>0.63978494623655913</v>
      </c>
      <c r="CK9" s="31">
        <v>0.63978494623655913</v>
      </c>
      <c r="CL9" s="31">
        <v>0.61827956989247312</v>
      </c>
      <c r="CM9" s="31">
        <v>0.72043010752688175</v>
      </c>
      <c r="CN9" s="31">
        <v>0.61827956989247312</v>
      </c>
      <c r="CO9" s="31">
        <v>0.72580645161290325</v>
      </c>
      <c r="CP9" s="31">
        <v>0.65821812596006146</v>
      </c>
      <c r="CQ9" s="31">
        <v>0.87116564417177911</v>
      </c>
      <c r="CR9" s="31">
        <v>0.59677419354838712</v>
      </c>
      <c r="CS9" s="31">
        <v>0.79141104294478526</v>
      </c>
      <c r="CT9" s="31">
        <v>0.65644171779141103</v>
      </c>
      <c r="CU9" s="31">
        <v>0.82208588957055218</v>
      </c>
      <c r="CV9" s="31">
        <v>0.71856287425149701</v>
      </c>
      <c r="CW9" s="31">
        <v>0.59067357512953367</v>
      </c>
      <c r="CX9" s="31">
        <v>0.72101641962970653</v>
      </c>
      <c r="CY9" s="31">
        <v>0.76073619631901845</v>
      </c>
      <c r="CZ9" s="31">
        <v>0.71779141104294475</v>
      </c>
      <c r="DA9" s="31">
        <v>0.70658682634730541</v>
      </c>
      <c r="DB9" s="31">
        <v>0.6347305389221557</v>
      </c>
      <c r="DC9" s="31">
        <v>0.81595092024539873</v>
      </c>
      <c r="DD9" s="31">
        <v>0.77914110429447858</v>
      </c>
      <c r="DE9" s="31">
        <v>0.80981595092024539</v>
      </c>
      <c r="DF9" s="31">
        <v>0.74639327829879243</v>
      </c>
      <c r="DG9" s="31">
        <v>0.84431137724550898</v>
      </c>
      <c r="DH9" s="31">
        <v>0.70552147239263807</v>
      </c>
      <c r="DI9" s="31">
        <v>0.74251497005988021</v>
      </c>
      <c r="DJ9" s="31">
        <v>0.73053892215568861</v>
      </c>
      <c r="DK9" s="31">
        <v>0.78443113772455086</v>
      </c>
      <c r="DL9" s="31">
        <v>0.74850299401197606</v>
      </c>
      <c r="DM9" s="31">
        <v>0.79640718562874246</v>
      </c>
      <c r="DN9" s="31">
        <v>0.7646040084598551</v>
      </c>
      <c r="DO9" s="31">
        <v>0.76923076923076927</v>
      </c>
      <c r="DP9" s="31">
        <v>0.82634730538922152</v>
      </c>
      <c r="DQ9" s="31">
        <v>0.72527472527472525</v>
      </c>
      <c r="DR9" s="31">
        <v>0.63440860215053763</v>
      </c>
      <c r="DS9" s="31">
        <v>0.8089887640449438</v>
      </c>
      <c r="DT9" s="31">
        <v>0.80838323353293418</v>
      </c>
      <c r="DU9" s="31">
        <v>0.84</v>
      </c>
      <c r="DV9" s="31">
        <v>0.77323334280330447</v>
      </c>
      <c r="DW9" s="31">
        <v>0.69892473118279574</v>
      </c>
      <c r="DX9" s="31">
        <v>0.66129032258064513</v>
      </c>
      <c r="DY9" s="31">
        <v>0.69354838709677424</v>
      </c>
      <c r="DZ9" s="31">
        <v>0.69354838709677424</v>
      </c>
      <c r="EA9" s="31">
        <v>0.69892473118279574</v>
      </c>
      <c r="EB9" s="31">
        <v>0.67741935483870963</v>
      </c>
      <c r="EC9" s="31">
        <v>0.72043010752688175</v>
      </c>
      <c r="ED9" s="31">
        <v>0.69201228878648224</v>
      </c>
      <c r="EE9" s="31">
        <v>0.84408602150537637</v>
      </c>
      <c r="EF9" s="31">
        <v>0.69354838709677424</v>
      </c>
      <c r="EG9" s="31">
        <v>0.70744680851063835</v>
      </c>
      <c r="EH9" s="31">
        <v>0.70744680851063835</v>
      </c>
      <c r="EI9" s="31">
        <v>0.81182795698924726</v>
      </c>
      <c r="EJ9" s="31">
        <v>0.75268817204301075</v>
      </c>
      <c r="EK9" s="31">
        <v>0.75806451612903225</v>
      </c>
      <c r="EL9" s="31">
        <v>0.75358695296924527</v>
      </c>
    </row>
    <row r="10" spans="2:142" x14ac:dyDescent="0.35">
      <c r="B10" s="19">
        <v>5</v>
      </c>
      <c r="C10" s="2">
        <v>625792</v>
      </c>
      <c r="D10" s="2">
        <v>542364</v>
      </c>
      <c r="E10" s="3"/>
      <c r="F10" s="3">
        <f t="shared" si="8"/>
        <v>0.86668413786050313</v>
      </c>
      <c r="G10" s="3"/>
      <c r="H10" s="3"/>
      <c r="I10" s="19" t="s">
        <v>53</v>
      </c>
      <c r="J10" s="2">
        <v>66962</v>
      </c>
      <c r="K10" s="2">
        <v>56320</v>
      </c>
      <c r="L10" s="2">
        <v>85418</v>
      </c>
      <c r="M10" s="2">
        <v>72590</v>
      </c>
      <c r="N10" s="2">
        <v>122172</v>
      </c>
      <c r="O10" s="2">
        <v>103257</v>
      </c>
      <c r="P10" s="2">
        <v>109699</v>
      </c>
      <c r="Q10" s="2">
        <v>92014</v>
      </c>
      <c r="R10" s="2">
        <v>95468</v>
      </c>
      <c r="S10" s="2">
        <v>79886</v>
      </c>
      <c r="T10" s="2">
        <v>85031</v>
      </c>
      <c r="U10" s="2">
        <v>71885</v>
      </c>
      <c r="V10" s="2">
        <v>63931</v>
      </c>
      <c r="W10" s="2">
        <v>54783</v>
      </c>
      <c r="X10" s="2">
        <v>628681</v>
      </c>
      <c r="Y10" s="2">
        <v>530735</v>
      </c>
      <c r="Z10" s="3"/>
      <c r="AA10" s="20" t="s">
        <v>49</v>
      </c>
      <c r="AB10" s="3">
        <f t="shared" si="0"/>
        <v>0.87229437909811591</v>
      </c>
      <c r="AC10" s="3">
        <f>(VLOOKUP($AA10,$I$8:$Y$1048576,5,FALSE)/VLOOKUP($AA10,$I$8:$Y$1048576,4,FALSE))</f>
        <v>0.8990424530912714</v>
      </c>
      <c r="AD10" s="3">
        <f t="shared" si="2"/>
        <v>0.86334497653799713</v>
      </c>
      <c r="AE10" s="3">
        <f t="shared" si="3"/>
        <v>0.85884825709944224</v>
      </c>
      <c r="AF10" s="3">
        <f t="shared" si="4"/>
        <v>0.88010028850116773</v>
      </c>
      <c r="AG10" s="3">
        <f t="shared" si="5"/>
        <v>0.88150279877296733</v>
      </c>
      <c r="AH10" s="3">
        <f t="shared" si="6"/>
        <v>0.86303757088846877</v>
      </c>
      <c r="AI10" s="3">
        <f t="shared" si="7"/>
        <v>0.86729491079852017</v>
      </c>
      <c r="AL10" s="19" t="s">
        <v>66</v>
      </c>
      <c r="AM10" s="31">
        <v>0.92922374429223742</v>
      </c>
      <c r="AN10" s="31">
        <v>0.8904109589041096</v>
      </c>
      <c r="AO10" s="31">
        <v>0.92533936651583715</v>
      </c>
      <c r="AP10" s="31">
        <v>0.94209354120267264</v>
      </c>
      <c r="AQ10" s="31">
        <v>0.90344827586206899</v>
      </c>
      <c r="AR10" s="31">
        <v>0.8896551724137931</v>
      </c>
      <c r="AS10" s="31">
        <v>0.92938496583143504</v>
      </c>
      <c r="AT10" s="31">
        <v>0.91565086071745061</v>
      </c>
      <c r="AU10" s="31">
        <v>0.91536748329621376</v>
      </c>
      <c r="AV10" s="31">
        <v>0.95575221238938057</v>
      </c>
      <c r="AW10" s="31">
        <v>0.88127853881278539</v>
      </c>
      <c r="AX10" s="31">
        <v>0.90432801822323461</v>
      </c>
      <c r="AY10" s="31">
        <v>0.93793103448275861</v>
      </c>
      <c r="AZ10" s="31">
        <v>0.9668874172185431</v>
      </c>
      <c r="BA10" s="31">
        <v>0.95353982300884954</v>
      </c>
      <c r="BB10" s="31">
        <v>0.93072636106168083</v>
      </c>
      <c r="BC10" s="31">
        <v>0.90625</v>
      </c>
      <c r="BD10" s="31">
        <v>0.89749430523917995</v>
      </c>
      <c r="BE10" s="31">
        <v>0.85022026431718056</v>
      </c>
      <c r="BF10" s="31">
        <v>0.91536748329621376</v>
      </c>
      <c r="BG10" s="31">
        <v>0.87082405345211578</v>
      </c>
      <c r="BH10" s="31">
        <v>0.92393736017897088</v>
      </c>
      <c r="BI10" s="31">
        <v>0.89601769911504425</v>
      </c>
      <c r="BJ10" s="31">
        <v>0.89430159508552942</v>
      </c>
      <c r="BK10" s="31">
        <v>0.85388127853881279</v>
      </c>
      <c r="BL10" s="31">
        <v>0.90540540540540537</v>
      </c>
      <c r="BM10" s="31">
        <v>0.85388127853881279</v>
      </c>
      <c r="BN10" s="31">
        <v>0.89189189189189189</v>
      </c>
      <c r="BO10" s="31">
        <v>0.90315315315315314</v>
      </c>
      <c r="BP10" s="31">
        <v>0.91757049891540132</v>
      </c>
      <c r="BQ10" s="31">
        <v>0.90639269406392697</v>
      </c>
      <c r="BR10" s="31">
        <v>0.89031088578677198</v>
      </c>
      <c r="BS10" s="31">
        <v>0.83484162895927605</v>
      </c>
      <c r="BT10" s="31">
        <v>0.91891891891891897</v>
      </c>
      <c r="BU10" s="31">
        <v>0.82352941176470584</v>
      </c>
      <c r="BV10" s="31">
        <v>0.88036117381489842</v>
      </c>
      <c r="BW10" s="31">
        <v>0.87695749440715887</v>
      </c>
      <c r="BX10" s="31">
        <v>0.8973799126637555</v>
      </c>
      <c r="BY10" s="31">
        <v>0.93679458239277658</v>
      </c>
      <c r="BZ10" s="31">
        <v>0.88125473184592718</v>
      </c>
      <c r="CA10" s="31">
        <v>0.90775681341719072</v>
      </c>
      <c r="CB10" s="31">
        <v>0.91402714932126694</v>
      </c>
      <c r="CC10" s="31">
        <v>0.86974789915966388</v>
      </c>
      <c r="CD10" s="31">
        <v>0.90546218487394958</v>
      </c>
      <c r="CE10" s="31">
        <v>0.9472573839662447</v>
      </c>
      <c r="CF10" s="31">
        <v>0.93406593406593408</v>
      </c>
      <c r="CG10" s="31">
        <v>0.95922746781115875</v>
      </c>
      <c r="CH10" s="31">
        <v>0.9196492618022013</v>
      </c>
      <c r="CI10" s="31">
        <v>0.84090909090909094</v>
      </c>
      <c r="CJ10" s="31">
        <v>0.86764705882352944</v>
      </c>
      <c r="CK10" s="31">
        <v>0.85773195876288655</v>
      </c>
      <c r="CL10" s="31">
        <v>0.85773195876288655</v>
      </c>
      <c r="CM10" s="31">
        <v>0.86391752577319592</v>
      </c>
      <c r="CN10" s="31">
        <v>0.88607594936708856</v>
      </c>
      <c r="CO10" s="31">
        <v>0.87763713080168781</v>
      </c>
      <c r="CP10" s="31">
        <v>0.86452152474290955</v>
      </c>
      <c r="CQ10" s="31">
        <v>0.94420600858369097</v>
      </c>
      <c r="CR10" s="31">
        <v>0.89670329670329674</v>
      </c>
      <c r="CS10" s="31">
        <v>0.88888888888888884</v>
      </c>
      <c r="CT10" s="31">
        <v>0.92215568862275454</v>
      </c>
      <c r="CU10" s="31">
        <v>0.9620535714285714</v>
      </c>
      <c r="CV10" s="31">
        <v>0.90537634408602152</v>
      </c>
      <c r="CW10" s="31">
        <v>0.92473118279569888</v>
      </c>
      <c r="CX10" s="31">
        <v>0.92058785444413183</v>
      </c>
      <c r="CY10" s="31">
        <v>0.85537190082644632</v>
      </c>
      <c r="CZ10" s="31">
        <v>0.92494929006085191</v>
      </c>
      <c r="DA10" s="31">
        <v>0.85950413223140498</v>
      </c>
      <c r="DB10" s="31">
        <v>0.87809917355371903</v>
      </c>
      <c r="DC10" s="31">
        <v>0.84917355371900827</v>
      </c>
      <c r="DD10" s="31">
        <v>0.90554414784394255</v>
      </c>
      <c r="DE10" s="31">
        <v>0.90721649484536082</v>
      </c>
      <c r="DF10" s="31">
        <v>0.88283695615439051</v>
      </c>
      <c r="DG10" s="31">
        <v>0.83609958506224069</v>
      </c>
      <c r="DH10" s="31">
        <v>0.88842975206611574</v>
      </c>
      <c r="DI10" s="31">
        <v>0.82987551867219922</v>
      </c>
      <c r="DJ10" s="31">
        <v>0.88174273858921159</v>
      </c>
      <c r="DK10" s="31">
        <v>0.87551867219917012</v>
      </c>
      <c r="DL10" s="31">
        <v>0.87190082644628097</v>
      </c>
      <c r="DM10" s="31">
        <v>0.89211618257261416</v>
      </c>
      <c r="DN10" s="31">
        <v>0.86795475365826191</v>
      </c>
      <c r="DO10" s="31">
        <v>0.91914893617021276</v>
      </c>
      <c r="DP10" s="31">
        <v>0.93153526970954359</v>
      </c>
      <c r="DQ10" s="31">
        <v>0.89574468085106385</v>
      </c>
      <c r="DR10" s="31">
        <v>0.89148936170212767</v>
      </c>
      <c r="DS10" s="31">
        <v>0.84042553191489366</v>
      </c>
      <c r="DT10" s="31">
        <v>0.91063829787234041</v>
      </c>
      <c r="DU10" s="31">
        <v>0.87872340425531914</v>
      </c>
      <c r="DV10" s="31">
        <v>0.89538649749650023</v>
      </c>
      <c r="DW10" s="31">
        <v>0.9</v>
      </c>
      <c r="DX10" s="31">
        <v>0.92340425531914894</v>
      </c>
      <c r="DY10" s="31">
        <v>0.88362068965517238</v>
      </c>
      <c r="DZ10" s="31">
        <v>0.86422413793103448</v>
      </c>
      <c r="EA10" s="31">
        <v>0.87659574468085111</v>
      </c>
      <c r="EB10" s="31">
        <v>0.89148936170212767</v>
      </c>
      <c r="EC10" s="31">
        <v>0.9212765957446809</v>
      </c>
      <c r="ED10" s="31">
        <v>0.89437296929043075</v>
      </c>
      <c r="EE10" s="31">
        <v>0.88793103448275867</v>
      </c>
      <c r="EF10" s="31">
        <v>0.89008620689655171</v>
      </c>
      <c r="EG10" s="31">
        <v>0.84482758620689657</v>
      </c>
      <c r="EH10" s="31">
        <v>0.83405172413793105</v>
      </c>
      <c r="EI10" s="31">
        <v>0.90517241379310343</v>
      </c>
      <c r="EJ10" s="31">
        <v>0.90732758620689657</v>
      </c>
      <c r="EK10" s="31">
        <v>0.92241379310344829</v>
      </c>
      <c r="EL10" s="31">
        <v>0.88454433497536955</v>
      </c>
    </row>
    <row r="11" spans="2:142" x14ac:dyDescent="0.35">
      <c r="B11" s="19">
        <v>6</v>
      </c>
      <c r="C11" s="2">
        <v>636192</v>
      </c>
      <c r="D11" s="2">
        <v>564014</v>
      </c>
      <c r="E11" s="3"/>
      <c r="F11" s="3">
        <f t="shared" si="8"/>
        <v>0.88654682863035061</v>
      </c>
      <c r="G11" s="3"/>
      <c r="H11" s="3"/>
      <c r="I11" s="19" t="s">
        <v>54</v>
      </c>
      <c r="J11" s="2">
        <v>66851</v>
      </c>
      <c r="K11" s="2">
        <v>56355</v>
      </c>
      <c r="L11" s="2">
        <v>85327</v>
      </c>
      <c r="M11" s="2">
        <v>72086</v>
      </c>
      <c r="N11" s="2">
        <v>121337</v>
      </c>
      <c r="O11" s="2">
        <v>103696</v>
      </c>
      <c r="P11" s="2">
        <v>109398</v>
      </c>
      <c r="Q11" s="2">
        <v>92624</v>
      </c>
      <c r="R11" s="2">
        <v>94860</v>
      </c>
      <c r="S11" s="2">
        <v>80339</v>
      </c>
      <c r="T11" s="2">
        <v>84444</v>
      </c>
      <c r="U11" s="2">
        <v>72607</v>
      </c>
      <c r="V11" s="2">
        <v>63986</v>
      </c>
      <c r="W11" s="2">
        <v>55647</v>
      </c>
      <c r="X11" s="2">
        <v>626203</v>
      </c>
      <c r="Y11" s="2">
        <v>533354</v>
      </c>
      <c r="Z11" s="3"/>
      <c r="AA11" s="20" t="s">
        <v>50</v>
      </c>
      <c r="AB11" s="3">
        <f t="shared" si="0"/>
        <v>0.87596501557125928</v>
      </c>
      <c r="AC11" s="3">
        <f t="shared" si="1"/>
        <v>0.89992155983863742</v>
      </c>
      <c r="AD11" s="3">
        <f t="shared" si="2"/>
        <v>0.8753079493621484</v>
      </c>
      <c r="AE11" s="3">
        <f t="shared" si="3"/>
        <v>0.85977227352702545</v>
      </c>
      <c r="AF11" s="3">
        <f t="shared" si="4"/>
        <v>0.88829621058721431</v>
      </c>
      <c r="AG11" s="3">
        <f t="shared" si="5"/>
        <v>0.8702790171557846</v>
      </c>
      <c r="AH11" s="3">
        <f t="shared" si="6"/>
        <v>0.87461636350026195</v>
      </c>
      <c r="AI11" s="3">
        <f t="shared" si="7"/>
        <v>0.86652312044161572</v>
      </c>
      <c r="AL11" s="19" t="s">
        <v>67</v>
      </c>
      <c r="AM11" s="31">
        <v>0.9228028503562945</v>
      </c>
      <c r="AN11" s="31">
        <v>0.91609977324263037</v>
      </c>
      <c r="AO11" s="31">
        <v>0.86613272311212819</v>
      </c>
      <c r="AP11" s="31">
        <v>0.8787185354691075</v>
      </c>
      <c r="AQ11" s="31">
        <v>0.84235294117647064</v>
      </c>
      <c r="AR11" s="31">
        <v>0.90252293577981646</v>
      </c>
      <c r="AS11" s="31">
        <v>0.88631090487238984</v>
      </c>
      <c r="AT11" s="31">
        <v>0.88784866628697678</v>
      </c>
      <c r="AU11" s="31">
        <v>0.93402777777777779</v>
      </c>
      <c r="AV11" s="31">
        <v>0.92677345537757438</v>
      </c>
      <c r="AW11" s="31">
        <v>0.89710982658959537</v>
      </c>
      <c r="AX11" s="31">
        <v>0.92757009345794394</v>
      </c>
      <c r="AY11" s="31">
        <v>0.9282407407407407</v>
      </c>
      <c r="AZ11" s="31">
        <v>0.92783505154639179</v>
      </c>
      <c r="BA11" s="31">
        <v>0.93764172335600904</v>
      </c>
      <c r="BB11" s="31">
        <v>0.92559980983514756</v>
      </c>
      <c r="BC11" s="31">
        <v>0.86872146118721461</v>
      </c>
      <c r="BD11" s="31">
        <v>0.93663594470046085</v>
      </c>
      <c r="BE11" s="31">
        <v>0.86139747995418103</v>
      </c>
      <c r="BF11" s="31">
        <v>0.89655172413793105</v>
      </c>
      <c r="BG11" s="31">
        <v>0.8929384965831435</v>
      </c>
      <c r="BH11" s="31">
        <v>0.93757225433526015</v>
      </c>
      <c r="BI11" s="31">
        <v>0.92972350230414746</v>
      </c>
      <c r="BJ11" s="31">
        <v>0.90336298045747676</v>
      </c>
      <c r="BK11" s="31">
        <v>0.78338945005611671</v>
      </c>
      <c r="BL11" s="31">
        <v>0.9037372593431483</v>
      </c>
      <c r="BM11" s="31">
        <v>0.82885906040268453</v>
      </c>
      <c r="BN11" s="31">
        <v>0.8843995510662177</v>
      </c>
      <c r="BO11" s="31">
        <v>0.86429365962180205</v>
      </c>
      <c r="BP11" s="31">
        <v>0.8954545454545455</v>
      </c>
      <c r="BQ11" s="31">
        <v>0.8660714285714286</v>
      </c>
      <c r="BR11" s="31">
        <v>0.86088642207370625</v>
      </c>
      <c r="BS11" s="31">
        <v>0.89149888143176736</v>
      </c>
      <c r="BT11" s="31">
        <v>0.92143658810325479</v>
      </c>
      <c r="BU11" s="31">
        <v>0.89640130861504908</v>
      </c>
      <c r="BV11" s="31">
        <v>0.92560175054704596</v>
      </c>
      <c r="BW11" s="31">
        <v>0.9116331096196868</v>
      </c>
      <c r="BX11" s="31">
        <v>0.95791805094130678</v>
      </c>
      <c r="BY11" s="31">
        <v>0.94966442953020136</v>
      </c>
      <c r="BZ11" s="31">
        <v>0.92202201696975894</v>
      </c>
      <c r="CA11" s="31">
        <v>0.881283422459893</v>
      </c>
      <c r="CB11" s="31">
        <v>0.91587802313354361</v>
      </c>
      <c r="CC11" s="31">
        <v>0.85291005291005295</v>
      </c>
      <c r="CD11" s="31">
        <v>0.89100529100529102</v>
      </c>
      <c r="CE11" s="31">
        <v>0.92620320855614968</v>
      </c>
      <c r="CF11" s="31">
        <v>0.93048128342245995</v>
      </c>
      <c r="CG11" s="31">
        <v>0.9347593582887701</v>
      </c>
      <c r="CH11" s="31">
        <v>0.90464580568230857</v>
      </c>
      <c r="CI11" s="31">
        <v>0.88</v>
      </c>
      <c r="CJ11" s="31">
        <v>0.91322751322751328</v>
      </c>
      <c r="CK11" s="31">
        <v>0.86717062634989206</v>
      </c>
      <c r="CL11" s="31">
        <v>0.88012958963282939</v>
      </c>
      <c r="CM11" s="31">
        <v>0.8540540540540541</v>
      </c>
      <c r="CN11" s="31">
        <v>0.89417989417989419</v>
      </c>
      <c r="CO11" s="31">
        <v>0.87513227513227509</v>
      </c>
      <c r="CP11" s="31">
        <v>0.88055627893949406</v>
      </c>
      <c r="CQ11" s="31">
        <v>0.8855291576673866</v>
      </c>
      <c r="CR11" s="31">
        <v>0.90928725701943847</v>
      </c>
      <c r="CS11" s="31">
        <v>0.87473002159827218</v>
      </c>
      <c r="CT11" s="31">
        <v>0.91468682505399568</v>
      </c>
      <c r="CU11" s="31">
        <v>0.86933045356371486</v>
      </c>
      <c r="CV11" s="31">
        <v>0.89416846652267823</v>
      </c>
      <c r="CW11" s="31">
        <v>0.8822894168466523</v>
      </c>
      <c r="CX11" s="31">
        <v>0.89000308546744833</v>
      </c>
      <c r="CY11" s="31">
        <v>0.86895810955961328</v>
      </c>
      <c r="CZ11" s="31">
        <v>0.92656587473002161</v>
      </c>
      <c r="DA11" s="31">
        <v>0.84606986899563319</v>
      </c>
      <c r="DB11" s="31">
        <v>0.86681222707423577</v>
      </c>
      <c r="DC11" s="31">
        <v>0.88399570354457568</v>
      </c>
      <c r="DD11" s="31">
        <v>0.91252699784017277</v>
      </c>
      <c r="DE11" s="31">
        <v>0.90064794816414684</v>
      </c>
      <c r="DF11" s="31">
        <v>0.88651096141548558</v>
      </c>
      <c r="DG11" s="31">
        <v>0.83624454148471616</v>
      </c>
      <c r="DH11" s="31">
        <v>0.90393013100436681</v>
      </c>
      <c r="DI11" s="31">
        <v>0.81550218340611358</v>
      </c>
      <c r="DJ11" s="31">
        <v>0.84170305676855894</v>
      </c>
      <c r="DK11" s="31">
        <v>0.85152838427947597</v>
      </c>
      <c r="DL11" s="31">
        <v>0.89628820960698685</v>
      </c>
      <c r="DM11" s="31">
        <v>0.87772925764192145</v>
      </c>
      <c r="DN11" s="31">
        <v>0.86041796631316281</v>
      </c>
      <c r="DO11" s="31">
        <v>0.82717520858164484</v>
      </c>
      <c r="DP11" s="31">
        <v>0.86206896551724133</v>
      </c>
      <c r="DQ11" s="31">
        <v>0.77572254335260116</v>
      </c>
      <c r="DR11" s="31">
        <v>0.79421965317919074</v>
      </c>
      <c r="DS11" s="31">
        <v>0.7931034482758621</v>
      </c>
      <c r="DT11" s="31">
        <v>0.83426028921023354</v>
      </c>
      <c r="DU11" s="31">
        <v>0.83203559510567293</v>
      </c>
      <c r="DV11" s="31">
        <v>0.81694081474606384</v>
      </c>
      <c r="DW11" s="31">
        <v>0.82801822323462415</v>
      </c>
      <c r="DX11" s="31">
        <v>0.81285878300803671</v>
      </c>
      <c r="DY11" s="31">
        <v>0.79954441913439633</v>
      </c>
      <c r="DZ11" s="31">
        <v>0.80203619909502266</v>
      </c>
      <c r="EA11" s="31">
        <v>0.84090909090909094</v>
      </c>
      <c r="EB11" s="31">
        <v>0.8194285714285714</v>
      </c>
      <c r="EC11" s="31">
        <v>0.8218714768883878</v>
      </c>
      <c r="ED11" s="31">
        <v>0.81780953767116138</v>
      </c>
      <c r="EE11" s="31">
        <v>0.86146682188591384</v>
      </c>
      <c r="EF11" s="31">
        <v>0.84041331802525832</v>
      </c>
      <c r="EG11" s="31">
        <v>0.8046511627906977</v>
      </c>
      <c r="EH11" s="31">
        <v>0.83372093023255811</v>
      </c>
      <c r="EI11" s="31">
        <v>0.85</v>
      </c>
      <c r="EJ11" s="31">
        <v>0.84775086505190311</v>
      </c>
      <c r="EK11" s="31">
        <v>0.8473988439306358</v>
      </c>
      <c r="EL11" s="31">
        <v>0.84077170598813822</v>
      </c>
    </row>
    <row r="12" spans="2:142" x14ac:dyDescent="0.35">
      <c r="B12" s="19">
        <v>7</v>
      </c>
      <c r="C12" s="2">
        <v>636268</v>
      </c>
      <c r="D12" s="2">
        <v>555013</v>
      </c>
      <c r="E12" s="3"/>
      <c r="F12" s="3">
        <f>D12/C12</f>
        <v>0.87229437909811591</v>
      </c>
      <c r="G12" s="3"/>
      <c r="H12" s="3"/>
      <c r="I12" s="19" t="s">
        <v>55</v>
      </c>
      <c r="J12" s="2">
        <v>66857</v>
      </c>
      <c r="K12" s="2">
        <v>57976</v>
      </c>
      <c r="L12" s="2">
        <v>85509</v>
      </c>
      <c r="M12" s="2">
        <v>72202</v>
      </c>
      <c r="N12" s="2">
        <v>121155</v>
      </c>
      <c r="O12" s="2">
        <v>104475</v>
      </c>
      <c r="P12" s="2">
        <v>109732</v>
      </c>
      <c r="Q12" s="2">
        <v>93761</v>
      </c>
      <c r="R12" s="2">
        <v>95502</v>
      </c>
      <c r="S12" s="2">
        <v>80630</v>
      </c>
      <c r="T12" s="2">
        <v>84620</v>
      </c>
      <c r="U12" s="2">
        <v>73245</v>
      </c>
      <c r="V12" s="2">
        <v>63959</v>
      </c>
      <c r="W12" s="2">
        <v>55923</v>
      </c>
      <c r="X12" s="2">
        <v>627334</v>
      </c>
      <c r="Y12" s="2">
        <v>538212</v>
      </c>
      <c r="Z12" s="3"/>
      <c r="AA12" s="20" t="s">
        <v>51</v>
      </c>
      <c r="AB12" s="3">
        <f t="shared" si="0"/>
        <v>0.86871120973613958</v>
      </c>
      <c r="AC12" s="3">
        <f t="shared" si="1"/>
        <v>0.88393748298702479</v>
      </c>
      <c r="AD12" s="3">
        <f t="shared" si="2"/>
        <v>0.86751608813958936</v>
      </c>
      <c r="AE12" s="3">
        <f t="shared" si="3"/>
        <v>0.85497525221107296</v>
      </c>
      <c r="AF12" s="3">
        <f t="shared" si="4"/>
        <v>0.88106456131414745</v>
      </c>
      <c r="AG12" s="3">
        <f t="shared" si="5"/>
        <v>0.8635542216006411</v>
      </c>
      <c r="AH12" s="3">
        <f t="shared" si="6"/>
        <v>0.86929497689670587</v>
      </c>
      <c r="AI12" s="3">
        <f t="shared" si="7"/>
        <v>0.86395782163123569</v>
      </c>
      <c r="AL12" s="19" t="s">
        <v>68</v>
      </c>
      <c r="AM12" s="31">
        <v>0.91111111111111109</v>
      </c>
      <c r="AN12" s="31">
        <v>0.91002570694087404</v>
      </c>
      <c r="AO12" s="31">
        <v>0.92620865139949105</v>
      </c>
      <c r="AP12" s="31">
        <v>0.91176470588235292</v>
      </c>
      <c r="AQ12" s="31">
        <v>0.90274314214463836</v>
      </c>
      <c r="AR12" s="31">
        <v>0.94871794871794868</v>
      </c>
      <c r="AS12" s="31">
        <v>0.87939698492462315</v>
      </c>
      <c r="AT12" s="31">
        <v>0.91285260730300555</v>
      </c>
      <c r="AU12" s="31">
        <v>0.88860759493670882</v>
      </c>
      <c r="AV12" s="31">
        <v>0.94059405940594054</v>
      </c>
      <c r="AW12" s="31">
        <v>0.8467532467532467</v>
      </c>
      <c r="AX12" s="31">
        <v>0.85604113110539848</v>
      </c>
      <c r="AY12" s="31">
        <v>0.93670886075949367</v>
      </c>
      <c r="AZ12" s="31">
        <v>0.9924050632911392</v>
      </c>
      <c r="BA12" s="31">
        <v>0.95979899497487442</v>
      </c>
      <c r="BB12" s="31">
        <v>0.91727270731811461</v>
      </c>
      <c r="BC12" s="31">
        <v>0.80203045685279184</v>
      </c>
      <c r="BD12" s="31">
        <v>0.86923076923076925</v>
      </c>
      <c r="BE12" s="31">
        <v>0.79586563307493541</v>
      </c>
      <c r="BF12" s="31">
        <v>0.80208333333333337</v>
      </c>
      <c r="BG12" s="31">
        <v>0.8542199488491049</v>
      </c>
      <c r="BH12" s="31">
        <v>0.93622448979591832</v>
      </c>
      <c r="BI12" s="31">
        <v>0.90632911392405058</v>
      </c>
      <c r="BJ12" s="31">
        <v>0.85228339215155757</v>
      </c>
      <c r="BK12" s="31">
        <v>0.68119891008174382</v>
      </c>
      <c r="BL12" s="31">
        <v>0.87467362924281988</v>
      </c>
      <c r="BM12" s="31">
        <v>0.71117166212534055</v>
      </c>
      <c r="BN12" s="31">
        <v>0.91553133514986373</v>
      </c>
      <c r="BO12" s="31">
        <v>0.771505376344086</v>
      </c>
      <c r="BP12" s="31">
        <v>0.83113456464379942</v>
      </c>
      <c r="BQ12" s="31">
        <v>0.85215053763440862</v>
      </c>
      <c r="BR12" s="31">
        <v>0.8053380021745804</v>
      </c>
      <c r="BS12" s="31">
        <v>0.87728459530026115</v>
      </c>
      <c r="BT12" s="31">
        <v>0.89784946236559138</v>
      </c>
      <c r="BU12" s="31">
        <v>0.91711229946524064</v>
      </c>
      <c r="BV12" s="31">
        <v>0.92708333333333337</v>
      </c>
      <c r="BW12" s="31">
        <v>0.95778364116094983</v>
      </c>
      <c r="BX12" s="31">
        <v>0.92741935483870963</v>
      </c>
      <c r="BY12" s="31">
        <v>0.93850267379679142</v>
      </c>
      <c r="BZ12" s="31">
        <v>0.920433622894411</v>
      </c>
      <c r="CA12" s="31">
        <v>0.89682539682539686</v>
      </c>
      <c r="CB12" s="31">
        <v>0.95618556701030932</v>
      </c>
      <c r="CC12" s="31">
        <v>0.88157894736842102</v>
      </c>
      <c r="CD12" s="31">
        <v>0.84856396866840733</v>
      </c>
      <c r="CE12" s="31">
        <v>0.90703517587939697</v>
      </c>
      <c r="CF12" s="31">
        <v>0.97964376590330793</v>
      </c>
      <c r="CG12" s="31">
        <v>0.88804071246819338</v>
      </c>
      <c r="CH12" s="31">
        <v>0.90826764773191893</v>
      </c>
      <c r="CI12" s="31">
        <v>0.84554973821989532</v>
      </c>
      <c r="CJ12" s="31">
        <v>0.91731266149870805</v>
      </c>
      <c r="CK12" s="31">
        <v>0.78835978835978837</v>
      </c>
      <c r="CL12" s="31">
        <v>0.87631578947368416</v>
      </c>
      <c r="CM12" s="31">
        <v>0.8571428571428571</v>
      </c>
      <c r="CN12" s="31">
        <v>0.94148936170212771</v>
      </c>
      <c r="CO12" s="31">
        <v>0.90813648293963256</v>
      </c>
      <c r="CP12" s="31">
        <v>0.87632952561952759</v>
      </c>
      <c r="CQ12" s="31">
        <v>0.93994778067885121</v>
      </c>
      <c r="CR12" s="31">
        <v>0.81052631578947365</v>
      </c>
      <c r="CS12" s="31">
        <v>0.87206266318537862</v>
      </c>
      <c r="CT12" s="31">
        <v>0.84391534391534395</v>
      </c>
      <c r="CU12" s="31">
        <v>0.90551181102362199</v>
      </c>
      <c r="CV12" s="31">
        <v>0.88063660477453576</v>
      </c>
      <c r="CW12" s="31">
        <v>0.85564304461942253</v>
      </c>
      <c r="CX12" s="31">
        <v>0.87260622342666117</v>
      </c>
      <c r="CY12" s="31">
        <v>0.90374331550802134</v>
      </c>
      <c r="CZ12" s="31">
        <v>0.87894736842105259</v>
      </c>
      <c r="DA12" s="31">
        <v>0.81298701298701304</v>
      </c>
      <c r="DB12" s="31">
        <v>0.82337662337662343</v>
      </c>
      <c r="DC12" s="31">
        <v>0.91534391534391535</v>
      </c>
      <c r="DD12" s="31">
        <v>0.92021276595744683</v>
      </c>
      <c r="DE12" s="31">
        <v>0.92167101827676245</v>
      </c>
      <c r="DF12" s="31">
        <v>0.88232600283869067</v>
      </c>
      <c r="DG12" s="31">
        <v>0.87335092348284959</v>
      </c>
      <c r="DH12" s="31">
        <v>0.91428571428571426</v>
      </c>
      <c r="DI12" s="31">
        <v>0.8529411764705882</v>
      </c>
      <c r="DJ12" s="31">
        <v>0.86472148541114058</v>
      </c>
      <c r="DK12" s="31">
        <v>0.88831168831168827</v>
      </c>
      <c r="DL12" s="31">
        <v>0.93472584856396868</v>
      </c>
      <c r="DM12" s="31">
        <v>0.86279683377308702</v>
      </c>
      <c r="DN12" s="31">
        <v>0.88444766718557677</v>
      </c>
      <c r="DO12" s="31">
        <v>0.92368421052631577</v>
      </c>
      <c r="DP12" s="31">
        <v>0.8970976253298153</v>
      </c>
      <c r="DQ12" s="31">
        <v>0.92467532467532465</v>
      </c>
      <c r="DR12" s="31">
        <v>0.92708333333333337</v>
      </c>
      <c r="DS12" s="31">
        <v>0.90600522193211486</v>
      </c>
      <c r="DT12" s="31">
        <v>0.93139841688654357</v>
      </c>
      <c r="DU12" s="31">
        <v>0.94986807387862793</v>
      </c>
      <c r="DV12" s="31">
        <v>0.92283031522315362</v>
      </c>
      <c r="DW12" s="31">
        <v>0.99009900990099009</v>
      </c>
      <c r="DX12" s="31">
        <v>0.89322916666666663</v>
      </c>
      <c r="DY12" s="31">
        <v>0.94147582697201015</v>
      </c>
      <c r="DZ12" s="31">
        <v>0.95064935064935063</v>
      </c>
      <c r="EA12" s="31">
        <v>0.97524752475247523</v>
      </c>
      <c r="EB12" s="31">
        <v>0.9538461538461539</v>
      </c>
      <c r="EC12" s="31">
        <v>0.99234693877551017</v>
      </c>
      <c r="ED12" s="31">
        <v>0.95669913879473678</v>
      </c>
      <c r="EE12" s="31">
        <v>0.86842105263157898</v>
      </c>
      <c r="EF12" s="31">
        <v>0.94601542416452444</v>
      </c>
      <c r="EG12" s="31">
        <v>0.84656084656084651</v>
      </c>
      <c r="EH12" s="31">
        <v>0.84736842105263155</v>
      </c>
      <c r="EI12" s="31">
        <v>0.93506493506493504</v>
      </c>
      <c r="EJ12" s="31">
        <v>0.9715762273901809</v>
      </c>
      <c r="EK12" s="31">
        <v>0.95844155844155843</v>
      </c>
      <c r="EL12" s="31">
        <v>0.91049263790089363</v>
      </c>
    </row>
    <row r="13" spans="2:142" x14ac:dyDescent="0.35">
      <c r="B13" s="19">
        <v>8</v>
      </c>
      <c r="C13" s="2">
        <v>633539</v>
      </c>
      <c r="D13" s="2">
        <v>554958</v>
      </c>
      <c r="E13" s="3"/>
      <c r="F13" s="3">
        <f t="shared" si="8"/>
        <v>0.87596501557125928</v>
      </c>
      <c r="G13" s="3"/>
      <c r="H13" s="3"/>
      <c r="I13" s="19" t="s">
        <v>44</v>
      </c>
      <c r="J13" s="2">
        <v>67418</v>
      </c>
      <c r="K13" s="2">
        <v>60981</v>
      </c>
      <c r="L13" s="2">
        <v>88508</v>
      </c>
      <c r="M13" s="2">
        <v>79838</v>
      </c>
      <c r="N13" s="2">
        <v>120231</v>
      </c>
      <c r="O13" s="2">
        <v>105256</v>
      </c>
      <c r="P13" s="2">
        <v>108502</v>
      </c>
      <c r="Q13" s="2">
        <v>95067</v>
      </c>
      <c r="R13" s="2">
        <v>92056</v>
      </c>
      <c r="S13" s="2">
        <v>81503</v>
      </c>
      <c r="T13" s="2">
        <v>85568</v>
      </c>
      <c r="U13" s="2">
        <v>77214</v>
      </c>
      <c r="V13" s="2">
        <v>63476</v>
      </c>
      <c r="W13" s="2">
        <v>56719</v>
      </c>
      <c r="X13" s="2">
        <v>625759</v>
      </c>
      <c r="Y13" s="2">
        <v>556578</v>
      </c>
      <c r="Z13" s="3"/>
      <c r="AA13" s="20" t="s">
        <v>52</v>
      </c>
      <c r="AB13" s="3">
        <f t="shared" si="0"/>
        <v>0.86092496840351351</v>
      </c>
      <c r="AC13" s="3">
        <f t="shared" si="1"/>
        <v>0.87500286611790068</v>
      </c>
      <c r="AD13" s="3">
        <f>(VLOOKUP($AA13,$I$8:$Y$1048576,7,FALSE)/VLOOKUP($AA13,$I$8:$Y$1048576,6,FALSE))</f>
        <v>0.86307057313248514</v>
      </c>
      <c r="AE13" s="3">
        <f t="shared" si="3"/>
        <v>0.84776610853302214</v>
      </c>
      <c r="AF13" s="3">
        <f t="shared" si="4"/>
        <v>0.866301089759974</v>
      </c>
      <c r="AG13" s="3">
        <f t="shared" si="5"/>
        <v>0.86375906337298725</v>
      </c>
      <c r="AH13" s="3">
        <f t="shared" si="6"/>
        <v>0.86997917286521864</v>
      </c>
      <c r="AI13" s="3">
        <f t="shared" si="7"/>
        <v>0.84748201438848925</v>
      </c>
      <c r="AL13" s="19" t="s">
        <v>69</v>
      </c>
      <c r="AM13" s="31">
        <v>0.90657439446366783</v>
      </c>
      <c r="AN13" s="31">
        <v>0.92624584717607972</v>
      </c>
      <c r="AO13" s="31">
        <v>0.91078838174273857</v>
      </c>
      <c r="AP13" s="31">
        <v>0.90821256038647347</v>
      </c>
      <c r="AQ13" s="31">
        <v>0.91764705882352937</v>
      </c>
      <c r="AR13" s="31">
        <v>0.94705093833780163</v>
      </c>
      <c r="AS13" s="31">
        <v>0.91315965263861054</v>
      </c>
      <c r="AT13" s="31">
        <v>0.91852554765270022</v>
      </c>
      <c r="AU13" s="31">
        <v>0.88948069241011984</v>
      </c>
      <c r="AV13" s="31">
        <v>0.90255701451278503</v>
      </c>
      <c r="AW13" s="31">
        <v>0.90215264187866928</v>
      </c>
      <c r="AX13" s="31">
        <v>0.91764705882352937</v>
      </c>
      <c r="AY13" s="31">
        <v>0.91677762982689748</v>
      </c>
      <c r="AZ13" s="31">
        <v>0.91511387163561075</v>
      </c>
      <c r="BA13" s="31">
        <v>0.91511387163561075</v>
      </c>
      <c r="BB13" s="31">
        <v>0.90840611153188899</v>
      </c>
      <c r="BC13" s="31">
        <v>0.90662251655629134</v>
      </c>
      <c r="BD13" s="31">
        <v>0.90705563093622799</v>
      </c>
      <c r="BE13" s="31">
        <v>0.87549668874172182</v>
      </c>
      <c r="BF13" s="31">
        <v>0.90397350993377479</v>
      </c>
      <c r="BG13" s="31">
        <v>0.9228723404255319</v>
      </c>
      <c r="BH13" s="31">
        <v>0.92054794520547945</v>
      </c>
      <c r="BI13" s="31">
        <v>0.93702943189596166</v>
      </c>
      <c r="BJ13" s="31">
        <v>0.91051400909928415</v>
      </c>
      <c r="BK13" s="31">
        <v>0.84730743012951604</v>
      </c>
      <c r="BL13" s="31">
        <v>0.90662251655629134</v>
      </c>
      <c r="BM13" s="31">
        <v>0.84867075664621672</v>
      </c>
      <c r="BN13" s="31">
        <v>0.88002726653033403</v>
      </c>
      <c r="BO13" s="31">
        <v>0.84441489361702127</v>
      </c>
      <c r="BP13" s="31">
        <v>0.9125248508946322</v>
      </c>
      <c r="BQ13" s="31">
        <v>0.87034574468085102</v>
      </c>
      <c r="BR13" s="31">
        <v>0.87284477986498044</v>
      </c>
      <c r="BS13" s="31">
        <v>0.88866259334691111</v>
      </c>
      <c r="BT13" s="31">
        <v>0.91274710293115202</v>
      </c>
      <c r="BU13" s="31">
        <v>0.91581805838424979</v>
      </c>
      <c r="BV13" s="31">
        <v>0.91174473862864902</v>
      </c>
      <c r="BW13" s="31">
        <v>0.88866259334691111</v>
      </c>
      <c r="BX13" s="31">
        <v>0.90224032586558045</v>
      </c>
      <c r="BY13" s="31">
        <v>0.89205702647657836</v>
      </c>
      <c r="BZ13" s="31">
        <v>0.90170463414000446</v>
      </c>
      <c r="CA13" s="31">
        <v>0.94573643410852715</v>
      </c>
      <c r="CB13" s="31">
        <v>0.90326975476839233</v>
      </c>
      <c r="CC13" s="31">
        <v>0.93754435770049682</v>
      </c>
      <c r="CD13" s="31">
        <v>0.9232914923291492</v>
      </c>
      <c r="CE13" s="31">
        <v>0.93706293706293708</v>
      </c>
      <c r="CF13" s="31">
        <v>0.91131284916201116</v>
      </c>
      <c r="CG13" s="31">
        <v>0.92965517241379314</v>
      </c>
      <c r="CH13" s="31">
        <v>0.92683899964932948</v>
      </c>
      <c r="CI13" s="31">
        <v>0.9213639526791928</v>
      </c>
      <c r="CJ13" s="31">
        <v>0.92821956368754399</v>
      </c>
      <c r="CK13" s="31">
        <v>0.92056737588652482</v>
      </c>
      <c r="CL13" s="31">
        <v>0.93003533568904595</v>
      </c>
      <c r="CM13" s="31">
        <v>0.89704873026767329</v>
      </c>
      <c r="CN13" s="31">
        <v>0.93541666666666667</v>
      </c>
      <c r="CO13" s="31">
        <v>0.93222683264177042</v>
      </c>
      <c r="CP13" s="31">
        <v>0.92355406535977402</v>
      </c>
      <c r="CQ13" s="31">
        <v>0.89908899789768748</v>
      </c>
      <c r="CR13" s="31">
        <v>0.91649269311064718</v>
      </c>
      <c r="CS13" s="31">
        <v>0.93422913719943423</v>
      </c>
      <c r="CT13" s="31">
        <v>0.8776520509193777</v>
      </c>
      <c r="CU13" s="31">
        <v>0.92419021364576159</v>
      </c>
      <c r="CV13" s="31">
        <v>0.92195121951219516</v>
      </c>
      <c r="CW13" s="31">
        <v>0.92036011080332414</v>
      </c>
      <c r="CX13" s="31">
        <v>0.91342348901263237</v>
      </c>
      <c r="CY13" s="31">
        <v>0.8971759594496741</v>
      </c>
      <c r="CZ13" s="31">
        <v>0.90014064697608998</v>
      </c>
      <c r="DA13" s="31">
        <v>0.87366167023554608</v>
      </c>
      <c r="DB13" s="31">
        <v>0.85825105782792666</v>
      </c>
      <c r="DC13" s="31">
        <v>0.86898016997167138</v>
      </c>
      <c r="DD13" s="31">
        <v>0.90401146131805155</v>
      </c>
      <c r="DE13" s="31">
        <v>0.88768898488120951</v>
      </c>
      <c r="DF13" s="31">
        <v>0.88427285009430989</v>
      </c>
      <c r="DG13" s="31">
        <v>0.89820788530465945</v>
      </c>
      <c r="DH13" s="31">
        <v>0.87906647807637905</v>
      </c>
      <c r="DI13" s="31">
        <v>0.89571005917159763</v>
      </c>
      <c r="DJ13" s="31">
        <v>0.86554004408523144</v>
      </c>
      <c r="DK13" s="31">
        <v>0.90343347639484983</v>
      </c>
      <c r="DL13" s="31">
        <v>0.89778413152251613</v>
      </c>
      <c r="DM13" s="31">
        <v>0.90352771778257734</v>
      </c>
      <c r="DN13" s="31">
        <v>0.89189568461968716</v>
      </c>
      <c r="DO13" s="31">
        <v>0.81383370125091981</v>
      </c>
      <c r="DP13" s="31">
        <v>0.86307356154406412</v>
      </c>
      <c r="DQ13" s="31">
        <v>0.87976101568334575</v>
      </c>
      <c r="DR13" s="31">
        <v>0.8689393939393939</v>
      </c>
      <c r="DS13" s="31">
        <v>0.85925925925925928</v>
      </c>
      <c r="DT13" s="31">
        <v>0.84945454545454546</v>
      </c>
      <c r="DU13" s="31">
        <v>0.85755813953488369</v>
      </c>
      <c r="DV13" s="31">
        <v>0.85598280238091606</v>
      </c>
      <c r="DW13" s="31">
        <v>0.8215069495245062</v>
      </c>
      <c r="DX13" s="31">
        <v>0.89146706586826352</v>
      </c>
      <c r="DY13" s="31">
        <v>0.8581132075471698</v>
      </c>
      <c r="DZ13" s="31">
        <v>0.84638329604772555</v>
      </c>
      <c r="EA13" s="31">
        <v>0.87590187590187585</v>
      </c>
      <c r="EB13" s="31">
        <v>0.88954344624447712</v>
      </c>
      <c r="EC13" s="31">
        <v>0.89227340267459143</v>
      </c>
      <c r="ED13" s="31">
        <v>0.86788417768694426</v>
      </c>
      <c r="EE13" s="31">
        <v>0.88164794007490632</v>
      </c>
      <c r="EF13" s="31">
        <v>0.88656716417910453</v>
      </c>
      <c r="EG13" s="31">
        <v>0.87377911344853498</v>
      </c>
      <c r="EH13" s="31">
        <v>0.83750000000000002</v>
      </c>
      <c r="EI13" s="31">
        <v>0.88164794007490632</v>
      </c>
      <c r="EJ13" s="31">
        <v>0.87061403508771928</v>
      </c>
      <c r="EK13" s="31">
        <v>0.88035450516986702</v>
      </c>
      <c r="EL13" s="31">
        <v>0.87315867114786272</v>
      </c>
    </row>
    <row r="14" spans="2:142" x14ac:dyDescent="0.35">
      <c r="B14" s="19">
        <v>9</v>
      </c>
      <c r="C14" s="2">
        <v>634502</v>
      </c>
      <c r="D14" s="2">
        <v>551199</v>
      </c>
      <c r="E14" s="3"/>
      <c r="F14" s="3">
        <f t="shared" si="8"/>
        <v>0.86871120973613958</v>
      </c>
      <c r="G14" s="3"/>
      <c r="H14" s="3"/>
      <c r="I14" s="19" t="s">
        <v>45</v>
      </c>
      <c r="J14" s="2">
        <v>68372</v>
      </c>
      <c r="K14" s="2">
        <v>61247</v>
      </c>
      <c r="L14" s="2">
        <v>88903</v>
      </c>
      <c r="M14" s="2">
        <v>80522</v>
      </c>
      <c r="N14" s="2">
        <v>120308</v>
      </c>
      <c r="O14" s="2">
        <v>105505</v>
      </c>
      <c r="P14" s="2">
        <v>108733</v>
      </c>
      <c r="Q14" s="2">
        <v>94996</v>
      </c>
      <c r="R14" s="2">
        <v>92034</v>
      </c>
      <c r="S14" s="2">
        <v>81222</v>
      </c>
      <c r="T14" s="2">
        <v>85930</v>
      </c>
      <c r="U14" s="2">
        <v>77344</v>
      </c>
      <c r="V14" s="2">
        <v>63463</v>
      </c>
      <c r="W14" s="2">
        <v>56632</v>
      </c>
      <c r="X14" s="2">
        <v>627743</v>
      </c>
      <c r="Y14" s="2">
        <v>557468</v>
      </c>
      <c r="Z14" s="3"/>
      <c r="AA14" s="20" t="s">
        <v>53</v>
      </c>
      <c r="AB14" s="3">
        <f t="shared" si="0"/>
        <v>0.84420397626141075</v>
      </c>
      <c r="AC14" s="3">
        <f t="shared" si="1"/>
        <v>0.8498208808447868</v>
      </c>
      <c r="AD14" s="3">
        <f t="shared" si="2"/>
        <v>0.84517729103231509</v>
      </c>
      <c r="AE14" s="3">
        <f t="shared" si="3"/>
        <v>0.83878613296383742</v>
      </c>
      <c r="AF14" s="3">
        <f t="shared" si="4"/>
        <v>0.84539756088955798</v>
      </c>
      <c r="AG14" s="3">
        <f t="shared" si="5"/>
        <v>0.85690822918458964</v>
      </c>
      <c r="AH14" s="3">
        <f t="shared" si="6"/>
        <v>0.84107404199396674</v>
      </c>
      <c r="AI14" s="3">
        <f t="shared" si="7"/>
        <v>0.83678300582394105</v>
      </c>
      <c r="AL14" s="19" t="s">
        <v>307</v>
      </c>
      <c r="AM14" s="31">
        <v>0.87787787787787785</v>
      </c>
      <c r="AN14" s="31">
        <v>0.92622133599202394</v>
      </c>
      <c r="AO14" s="31">
        <v>0.90643863179074446</v>
      </c>
      <c r="AP14" s="31">
        <v>0.90485629335976214</v>
      </c>
      <c r="AQ14" s="31">
        <v>0.91035856573705176</v>
      </c>
      <c r="AR14" s="31">
        <v>0.91948310139165013</v>
      </c>
      <c r="AS14" s="31">
        <v>0.91078431372549018</v>
      </c>
      <c r="AT14" s="31">
        <v>0.90800287426780013</v>
      </c>
      <c r="AU14" s="31">
        <v>0.94538232373386299</v>
      </c>
      <c r="AV14" s="31">
        <v>0.91067961165048539</v>
      </c>
      <c r="AW14" s="31">
        <v>0.91840796019900495</v>
      </c>
      <c r="AX14" s="31">
        <v>0.89720558882235524</v>
      </c>
      <c r="AY14" s="31">
        <v>0.90677134445534835</v>
      </c>
      <c r="AZ14" s="31">
        <v>0.95825242718446602</v>
      </c>
      <c r="BA14" s="31">
        <v>0.89813907933398629</v>
      </c>
      <c r="BB14" s="31">
        <v>0.91926261933993003</v>
      </c>
      <c r="BC14" s="31">
        <v>0.92603266090297787</v>
      </c>
      <c r="BD14" s="31">
        <v>0.94129158512720157</v>
      </c>
      <c r="BE14" s="31">
        <v>0.93532818532818529</v>
      </c>
      <c r="BF14" s="31">
        <v>0.93093385214007784</v>
      </c>
      <c r="BG14" s="31">
        <v>0.9377394636015326</v>
      </c>
      <c r="BH14" s="31">
        <v>0.93889427740058196</v>
      </c>
      <c r="BI14" s="31">
        <v>0.94318181818181823</v>
      </c>
      <c r="BJ14" s="31">
        <v>0.93620026324033934</v>
      </c>
      <c r="BK14" s="31">
        <v>0.83912611717974184</v>
      </c>
      <c r="BL14" s="31">
        <v>0.93974732750242951</v>
      </c>
      <c r="BM14" s="31">
        <v>0.85498489425981872</v>
      </c>
      <c r="BN14" s="31">
        <v>0.90963855421686746</v>
      </c>
      <c r="BO14" s="31">
        <v>0.91219512195121955</v>
      </c>
      <c r="BP14" s="31">
        <v>0.93248532289628183</v>
      </c>
      <c r="BQ14" s="31">
        <v>0.94302554027504915</v>
      </c>
      <c r="BR14" s="31">
        <v>0.90445755404020112</v>
      </c>
      <c r="BS14" s="31">
        <v>0.92197906755470982</v>
      </c>
      <c r="BT14" s="31">
        <v>0.92051030421982338</v>
      </c>
      <c r="BU14" s="31">
        <v>0.9219653179190751</v>
      </c>
      <c r="BV14" s="31">
        <v>0.93496701225259193</v>
      </c>
      <c r="BW14" s="31">
        <v>0.92476190476190478</v>
      </c>
      <c r="BX14" s="31">
        <v>0.92248062015503873</v>
      </c>
      <c r="BY14" s="31">
        <v>0.95393474088291752</v>
      </c>
      <c r="BZ14" s="31">
        <v>0.9286569953922944</v>
      </c>
      <c r="CA14" s="31">
        <v>0.92344497607655507</v>
      </c>
      <c r="CB14" s="31">
        <v>0.925414364640884</v>
      </c>
      <c r="CC14" s="31">
        <v>0.91139240506329111</v>
      </c>
      <c r="CD14" s="31">
        <v>0.89163498098859317</v>
      </c>
      <c r="CE14" s="31">
        <v>0.93441064638783267</v>
      </c>
      <c r="CF14" s="31">
        <v>0.93160813308687618</v>
      </c>
      <c r="CG14" s="31">
        <v>0.92458100558659218</v>
      </c>
      <c r="CH14" s="31">
        <v>0.9203552159758035</v>
      </c>
      <c r="CI14" s="31">
        <v>0.90738916256157631</v>
      </c>
      <c r="CJ14" s="31">
        <v>0.89553656220322886</v>
      </c>
      <c r="CK14" s="31">
        <v>0.88315481986368061</v>
      </c>
      <c r="CL14" s="31">
        <v>0.90207715133531152</v>
      </c>
      <c r="CM14" s="31">
        <v>0.89181286549707606</v>
      </c>
      <c r="CN14" s="31">
        <v>0.91145332050048122</v>
      </c>
      <c r="CO14" s="31">
        <v>0.91745730550284632</v>
      </c>
      <c r="CP14" s="31">
        <v>0.90126874106631427</v>
      </c>
      <c r="CQ14" s="31">
        <v>0.93034825870646765</v>
      </c>
      <c r="CR14" s="31">
        <v>0.90039447731755429</v>
      </c>
      <c r="CS14" s="31">
        <v>0.93762575452716301</v>
      </c>
      <c r="CT14" s="31">
        <v>0.9228515625</v>
      </c>
      <c r="CU14" s="31">
        <v>0.88822355289421162</v>
      </c>
      <c r="CV14" s="31">
        <v>0.90086621751684315</v>
      </c>
      <c r="CW14" s="31">
        <v>0.90962099125364426</v>
      </c>
      <c r="CX14" s="31">
        <v>0.91284725924512622</v>
      </c>
      <c r="CY14" s="31">
        <v>0.8957115009746589</v>
      </c>
      <c r="CZ14" s="31">
        <v>0.91058581706063724</v>
      </c>
      <c r="DA14" s="31">
        <v>0.89641819941916745</v>
      </c>
      <c r="DB14" s="31">
        <v>0.91513982642237224</v>
      </c>
      <c r="DC14" s="31">
        <v>0.90845070422535212</v>
      </c>
      <c r="DD14" s="31">
        <v>0.93873704052780393</v>
      </c>
      <c r="DE14" s="31">
        <v>0.91570881226053635</v>
      </c>
      <c r="DF14" s="31">
        <v>0.91153598584150397</v>
      </c>
      <c r="DG14" s="31">
        <v>0.90549662487946003</v>
      </c>
      <c r="DH14" s="31">
        <v>0.90573372206025271</v>
      </c>
      <c r="DI14" s="31">
        <v>0.95781399808245449</v>
      </c>
      <c r="DJ14" s="31">
        <v>0.90009794319294811</v>
      </c>
      <c r="DK14" s="31">
        <v>0.88418932527693861</v>
      </c>
      <c r="DL14" s="31">
        <v>0.93973634651600757</v>
      </c>
      <c r="DM14" s="31">
        <v>0.92786561264822132</v>
      </c>
      <c r="DN14" s="31">
        <v>0.91727622466518333</v>
      </c>
      <c r="DO14" s="31">
        <v>0.88622754491017963</v>
      </c>
      <c r="DP14" s="31">
        <v>0.89579158316633267</v>
      </c>
      <c r="DQ14" s="31">
        <v>0.81650485436893205</v>
      </c>
      <c r="DR14" s="31">
        <v>0.86113789778206362</v>
      </c>
      <c r="DS14" s="31">
        <v>0.87141444114737887</v>
      </c>
      <c r="DT14" s="31">
        <v>0.90089197224975226</v>
      </c>
      <c r="DU14" s="31">
        <v>0.88165680473372776</v>
      </c>
      <c r="DV14" s="31">
        <v>0.87337501405119522</v>
      </c>
      <c r="DW14" s="31">
        <v>0.8887765419615774</v>
      </c>
      <c r="DX14" s="31">
        <v>0.85922330097087374</v>
      </c>
      <c r="DY14" s="31">
        <v>0.84945164506480564</v>
      </c>
      <c r="DZ14" s="31">
        <v>0.90345528455284552</v>
      </c>
      <c r="EA14" s="31">
        <v>0.89126213592233006</v>
      </c>
      <c r="EB14" s="31">
        <v>0.89509143407122238</v>
      </c>
      <c r="EC14" s="31">
        <v>0.87875848690591662</v>
      </c>
      <c r="ED14" s="31">
        <v>0.88085983277851021</v>
      </c>
      <c r="EE14" s="31">
        <v>0.87462387161484456</v>
      </c>
      <c r="EF14" s="31">
        <v>0.8784313725490196</v>
      </c>
      <c r="EG14" s="31">
        <v>0.88954635108481261</v>
      </c>
      <c r="EH14" s="31">
        <v>0.84942084942084939</v>
      </c>
      <c r="EI14" s="31">
        <v>0.8886699507389163</v>
      </c>
      <c r="EJ14" s="31">
        <v>0.8938656280428432</v>
      </c>
      <c r="EK14" s="31">
        <v>0.89338598223099708</v>
      </c>
      <c r="EL14" s="31">
        <v>0.88113485795461177</v>
      </c>
    </row>
    <row r="15" spans="2:142" x14ac:dyDescent="0.35">
      <c r="B15" s="19">
        <v>10</v>
      </c>
      <c r="C15" s="2">
        <v>633773</v>
      </c>
      <c r="D15" s="2">
        <v>545631</v>
      </c>
      <c r="E15" s="3"/>
      <c r="F15" s="3">
        <f t="shared" si="8"/>
        <v>0.86092496840351351</v>
      </c>
      <c r="G15" s="3"/>
      <c r="H15" s="3"/>
      <c r="I15" s="19" t="s">
        <v>46</v>
      </c>
      <c r="J15" s="2">
        <v>66999</v>
      </c>
      <c r="K15" s="2">
        <v>56396</v>
      </c>
      <c r="L15" s="2">
        <v>87733</v>
      </c>
      <c r="M15" s="2">
        <v>76308</v>
      </c>
      <c r="N15" s="2">
        <v>119760</v>
      </c>
      <c r="O15" s="2">
        <v>97642</v>
      </c>
      <c r="P15" s="2">
        <v>107337</v>
      </c>
      <c r="Q15" s="2">
        <v>85417</v>
      </c>
      <c r="R15" s="2">
        <v>90230</v>
      </c>
      <c r="S15" s="2">
        <v>74216</v>
      </c>
      <c r="T15" s="2">
        <v>84454</v>
      </c>
      <c r="U15" s="2">
        <v>71480</v>
      </c>
      <c r="V15" s="2">
        <v>61919</v>
      </c>
      <c r="W15" s="2">
        <v>51091</v>
      </c>
      <c r="X15" s="2">
        <v>618432</v>
      </c>
      <c r="Y15" s="2">
        <v>512550</v>
      </c>
      <c r="Z15" s="3"/>
      <c r="AA15" s="20" t="s">
        <v>54</v>
      </c>
      <c r="AB15" s="3">
        <f t="shared" si="0"/>
        <v>0.85172699587833334</v>
      </c>
      <c r="AC15" s="3">
        <f t="shared" si="1"/>
        <v>0.84482051402252512</v>
      </c>
      <c r="AD15" s="3">
        <f t="shared" si="2"/>
        <v>0.85461153646455734</v>
      </c>
      <c r="AE15" s="3">
        <f t="shared" si="3"/>
        <v>0.84666995740324325</v>
      </c>
      <c r="AF15" s="3">
        <f t="shared" si="4"/>
        <v>0.85982426223295916</v>
      </c>
      <c r="AG15" s="3">
        <f t="shared" si="5"/>
        <v>0.86967461632232046</v>
      </c>
      <c r="AH15" s="3">
        <f t="shared" si="6"/>
        <v>0.84299412125473072</v>
      </c>
      <c r="AI15" s="3">
        <f>(VLOOKUP($AA15,$I$8:$Y$1048576,11,FALSE)/VLOOKUP($AA15,$I$8:$Y$1048576,10,FALSE))</f>
        <v>0.846921779464474</v>
      </c>
      <c r="AL15" s="19" t="s">
        <v>70</v>
      </c>
      <c r="AM15" s="31">
        <v>0.84701492537313428</v>
      </c>
      <c r="AN15" s="31">
        <v>0.6730038022813688</v>
      </c>
      <c r="AO15" s="31">
        <v>0.80303030303030298</v>
      </c>
      <c r="AP15" s="31">
        <v>0.8307086614173228</v>
      </c>
      <c r="AQ15" s="31">
        <v>0.81886792452830193</v>
      </c>
      <c r="AR15" s="31">
        <v>0.74721189591078063</v>
      </c>
      <c r="AS15" s="31">
        <v>0.84074074074074079</v>
      </c>
      <c r="AT15" s="31">
        <v>0.79436832189742179</v>
      </c>
      <c r="AU15" s="31">
        <v>0.87022900763358779</v>
      </c>
      <c r="AV15" s="31">
        <v>0.78966789667896675</v>
      </c>
      <c r="AW15" s="31">
        <v>0.84126984126984128</v>
      </c>
      <c r="AX15" s="31">
        <v>0.77380952380952384</v>
      </c>
      <c r="AY15" s="31">
        <v>0.82954545454545459</v>
      </c>
      <c r="AZ15" s="31">
        <v>0.84328358208955223</v>
      </c>
      <c r="BA15" s="31">
        <v>0.8527131782945736</v>
      </c>
      <c r="BB15" s="31">
        <v>0.82864549776021423</v>
      </c>
      <c r="BC15" s="31">
        <v>0.81171548117154813</v>
      </c>
      <c r="BD15" s="31">
        <v>0.75494071146245056</v>
      </c>
      <c r="BE15" s="31">
        <v>0.78902953586497893</v>
      </c>
      <c r="BF15" s="31">
        <v>0.76793248945147674</v>
      </c>
      <c r="BG15" s="31">
        <v>0.76229508196721307</v>
      </c>
      <c r="BH15" s="31">
        <v>0.78764478764478763</v>
      </c>
      <c r="BI15" s="31">
        <v>0.73622047244094491</v>
      </c>
      <c r="BJ15" s="31">
        <v>0.77282550857191423</v>
      </c>
      <c r="BK15" s="31">
        <v>0.73853211009174313</v>
      </c>
      <c r="BL15" s="31">
        <v>0.77272727272727271</v>
      </c>
      <c r="BM15" s="31">
        <v>0.67123287671232879</v>
      </c>
      <c r="BN15" s="31">
        <v>0.63181818181818183</v>
      </c>
      <c r="BO15" s="31">
        <v>0.80434782608695654</v>
      </c>
      <c r="BP15" s="31">
        <v>0.72941176470588232</v>
      </c>
      <c r="BQ15" s="31">
        <v>0.77253218884120167</v>
      </c>
      <c r="BR15" s="31">
        <v>0.73151460299765236</v>
      </c>
      <c r="BS15" s="31">
        <v>0.71052631578947367</v>
      </c>
      <c r="BT15" s="31">
        <v>0.6607142857142857</v>
      </c>
      <c r="BU15" s="31">
        <v>0.68</v>
      </c>
      <c r="BV15" s="31">
        <v>0.68722466960352424</v>
      </c>
      <c r="BW15" s="31">
        <v>0.78354978354978355</v>
      </c>
      <c r="BX15" s="31">
        <v>0.73777777777777775</v>
      </c>
      <c r="BY15" s="31">
        <v>0.77155172413793105</v>
      </c>
      <c r="BZ15" s="31">
        <v>0.71876350808182521</v>
      </c>
      <c r="CA15" s="31">
        <v>0.75355450236966826</v>
      </c>
      <c r="CB15" s="31">
        <v>0.84507042253521125</v>
      </c>
      <c r="CC15" s="31">
        <v>0.69</v>
      </c>
      <c r="CD15" s="31">
        <v>0.76</v>
      </c>
      <c r="CE15" s="31">
        <v>0.84403669724770647</v>
      </c>
      <c r="CF15" s="31">
        <v>0.81775700934579443</v>
      </c>
      <c r="CG15" s="31">
        <v>0.81308411214953269</v>
      </c>
      <c r="CH15" s="31">
        <v>0.78907182052113056</v>
      </c>
      <c r="CI15" s="31">
        <v>0.83856502242152464</v>
      </c>
      <c r="CJ15" s="31">
        <v>0.71495327102803741</v>
      </c>
      <c r="CK15" s="31">
        <v>0.86190476190476195</v>
      </c>
      <c r="CL15" s="31">
        <v>0.81220657276995301</v>
      </c>
      <c r="CM15" s="31">
        <v>0.82110091743119262</v>
      </c>
      <c r="CN15" s="31">
        <v>0.80281690140845074</v>
      </c>
      <c r="CO15" s="31">
        <v>0.76712328767123283</v>
      </c>
      <c r="CP15" s="31">
        <v>0.80266724780502197</v>
      </c>
      <c r="CQ15" s="31">
        <v>0.86111111111111116</v>
      </c>
      <c r="CR15" s="31">
        <v>0.83720930232558144</v>
      </c>
      <c r="CS15" s="31">
        <v>0.84453781512605042</v>
      </c>
      <c r="CT15" s="31">
        <v>0.80786026200873362</v>
      </c>
      <c r="CU15" s="31">
        <v>0.86784140969162993</v>
      </c>
      <c r="CV15" s="31">
        <v>0.8705357142857143</v>
      </c>
      <c r="CW15" s="31">
        <v>0.86026200873362446</v>
      </c>
      <c r="CX15" s="31">
        <v>0.84990823189749232</v>
      </c>
      <c r="CY15" s="31">
        <v>0.89583333333333337</v>
      </c>
      <c r="CZ15" s="31">
        <v>0.78400000000000003</v>
      </c>
      <c r="DA15" s="31">
        <v>0.79527559055118113</v>
      </c>
      <c r="DB15" s="31">
        <v>0.73895582329317266</v>
      </c>
      <c r="DC15" s="31">
        <v>0.86475409836065575</v>
      </c>
      <c r="DD15" s="31">
        <v>0.85245901639344257</v>
      </c>
      <c r="DE15" s="31">
        <v>0.90283400809716596</v>
      </c>
      <c r="DF15" s="31">
        <v>0.83344455286127883</v>
      </c>
      <c r="DG15" s="31">
        <v>0.86614173228346458</v>
      </c>
      <c r="DH15" s="31">
        <v>0.78346456692913391</v>
      </c>
      <c r="DI15" s="31">
        <v>0.89200000000000002</v>
      </c>
      <c r="DJ15" s="31">
        <v>0.86065573770491799</v>
      </c>
      <c r="DK15" s="31">
        <v>0.84337349397590367</v>
      </c>
      <c r="DL15" s="31">
        <v>0.81960784313725488</v>
      </c>
      <c r="DM15" s="31">
        <v>0.83464566929133854</v>
      </c>
      <c r="DN15" s="31">
        <v>0.84284129190314494</v>
      </c>
      <c r="DO15" s="31">
        <v>0.86328125</v>
      </c>
      <c r="DP15" s="31">
        <v>0.77075098814229248</v>
      </c>
      <c r="DQ15" s="31">
        <v>0.77600000000000002</v>
      </c>
      <c r="DR15" s="31">
        <v>0.75100401606425704</v>
      </c>
      <c r="DS15" s="31">
        <v>0.83268482490272377</v>
      </c>
      <c r="DT15" s="31">
        <v>0.83464566929133854</v>
      </c>
      <c r="DU15" s="31">
        <v>0.8571428571428571</v>
      </c>
      <c r="DV15" s="31">
        <v>0.81221565793478134</v>
      </c>
      <c r="DW15" s="31">
        <v>0.81818181818181823</v>
      </c>
      <c r="DX15" s="31">
        <v>0.73895582329317266</v>
      </c>
      <c r="DY15" s="31">
        <v>0.77419354838709675</v>
      </c>
      <c r="DZ15" s="31">
        <v>0.73170731707317072</v>
      </c>
      <c r="EA15" s="31">
        <v>0.76377952755905509</v>
      </c>
      <c r="EB15" s="31">
        <v>0.8112449799196787</v>
      </c>
      <c r="EC15" s="31">
        <v>0.85599999999999998</v>
      </c>
      <c r="ED15" s="31">
        <v>0.78486614491628459</v>
      </c>
      <c r="EE15" s="31">
        <v>0.84297520661157022</v>
      </c>
      <c r="EF15" s="31">
        <v>0.75609756097560976</v>
      </c>
      <c r="EG15" s="31">
        <v>0.7967479674796748</v>
      </c>
      <c r="EH15" s="31">
        <v>0.77642276422764223</v>
      </c>
      <c r="EI15" s="31">
        <v>0.88211382113821135</v>
      </c>
      <c r="EJ15" s="31">
        <v>0.85080645161290325</v>
      </c>
      <c r="EK15" s="31">
        <v>0.84399999999999997</v>
      </c>
      <c r="EL15" s="31">
        <v>0.82130911029223019</v>
      </c>
    </row>
    <row r="16" spans="2:142" x14ac:dyDescent="0.35">
      <c r="B16" s="19">
        <v>11</v>
      </c>
      <c r="C16" s="2">
        <v>628681</v>
      </c>
      <c r="D16" s="2">
        <v>530735</v>
      </c>
      <c r="E16" s="3"/>
      <c r="F16" s="3">
        <f t="shared" si="8"/>
        <v>0.84420397626141075</v>
      </c>
      <c r="G16" s="3"/>
      <c r="H16" s="3"/>
      <c r="I16" s="19" t="s">
        <v>47</v>
      </c>
      <c r="J16" s="2">
        <v>67975</v>
      </c>
      <c r="K16" s="2">
        <v>59774</v>
      </c>
      <c r="L16" s="2">
        <v>88675</v>
      </c>
      <c r="M16" s="2">
        <v>80162</v>
      </c>
      <c r="N16" s="2">
        <v>120780</v>
      </c>
      <c r="O16" s="2">
        <v>103418</v>
      </c>
      <c r="P16" s="2">
        <v>107802</v>
      </c>
      <c r="Q16" s="2">
        <v>90164</v>
      </c>
      <c r="R16" s="2">
        <v>91554</v>
      </c>
      <c r="S16" s="2">
        <v>78626</v>
      </c>
      <c r="T16" s="2">
        <v>86129</v>
      </c>
      <c r="U16" s="2">
        <v>75642</v>
      </c>
      <c r="V16" s="2">
        <v>62877</v>
      </c>
      <c r="W16" s="2">
        <v>54578</v>
      </c>
      <c r="X16" s="2">
        <v>625792</v>
      </c>
      <c r="Y16" s="2">
        <v>542364</v>
      </c>
      <c r="Z16" s="3"/>
      <c r="AA16" s="20" t="s">
        <v>55</v>
      </c>
      <c r="AB16" s="3">
        <f>(VLOOKUP($AA16,$I$8:$Y$1048576,17,FALSE)/VLOOKUP($AA16,$I$8:$Y$1048576,16,FALSE))</f>
        <v>0.85793532631740033</v>
      </c>
      <c r="AC16" s="3">
        <f t="shared" si="1"/>
        <v>0.8443789542621245</v>
      </c>
      <c r="AD16" s="3">
        <f t="shared" si="2"/>
        <v>0.86232512071313605</v>
      </c>
      <c r="AE16" s="3">
        <f t="shared" si="3"/>
        <v>0.85445448911894428</v>
      </c>
      <c r="AF16" s="3">
        <f t="shared" si="4"/>
        <v>0.86557551406286926</v>
      </c>
      <c r="AG16" s="3">
        <f t="shared" si="5"/>
        <v>0.87435700995950527</v>
      </c>
      <c r="AH16" s="3">
        <f t="shared" si="6"/>
        <v>0.86716424607744891</v>
      </c>
      <c r="AI16" s="3">
        <f t="shared" si="7"/>
        <v>0.84427551255471089</v>
      </c>
      <c r="AL16" s="19" t="s">
        <v>71</v>
      </c>
      <c r="AM16" s="31">
        <v>0.910948905109489</v>
      </c>
      <c r="AN16" s="31">
        <v>0.910948905109489</v>
      </c>
      <c r="AO16" s="31">
        <v>0.91532846715328464</v>
      </c>
      <c r="AP16" s="31">
        <v>0.92408759124087592</v>
      </c>
      <c r="AQ16" s="31">
        <v>0.88467153284671529</v>
      </c>
      <c r="AR16" s="31">
        <v>0.89635036496350362</v>
      </c>
      <c r="AS16" s="31">
        <v>0.88029197080291965</v>
      </c>
      <c r="AT16" s="31">
        <v>0.90323253388946811</v>
      </c>
      <c r="AU16" s="31">
        <v>0.91678832116788322</v>
      </c>
      <c r="AV16" s="31">
        <v>0.94160583941605835</v>
      </c>
      <c r="AW16" s="31">
        <v>0.89927007299270068</v>
      </c>
      <c r="AX16" s="31">
        <v>0.90072992700729926</v>
      </c>
      <c r="AY16" s="31">
        <v>0.94890510948905105</v>
      </c>
      <c r="AZ16" s="31">
        <v>0.9664233576642336</v>
      </c>
      <c r="BA16" s="31">
        <v>0.96058394160583938</v>
      </c>
      <c r="BB16" s="31">
        <v>0.93347236704900938</v>
      </c>
      <c r="BC16" s="31">
        <v>0.95273264401772528</v>
      </c>
      <c r="BD16" s="31">
        <v>0.93576642335766425</v>
      </c>
      <c r="BE16" s="31">
        <v>0.94977843426883313</v>
      </c>
      <c r="BF16" s="31">
        <v>0.94977843426883313</v>
      </c>
      <c r="BG16" s="31">
        <v>0.94830132939438705</v>
      </c>
      <c r="BH16" s="31">
        <v>0.93430656934306566</v>
      </c>
      <c r="BI16" s="31">
        <v>0.94890510948905105</v>
      </c>
      <c r="BJ16" s="31">
        <v>0.94565270630565146</v>
      </c>
      <c r="BK16" s="31">
        <v>0.82570162481536191</v>
      </c>
      <c r="BL16" s="31">
        <v>0.96602658788773998</v>
      </c>
      <c r="BM16" s="31">
        <v>0.84194977843426888</v>
      </c>
      <c r="BN16" s="31">
        <v>0.8818316100443131</v>
      </c>
      <c r="BO16" s="31">
        <v>0.89660265878877399</v>
      </c>
      <c r="BP16" s="31">
        <v>0.98079763663220088</v>
      </c>
      <c r="BQ16" s="31">
        <v>0.95568685376661744</v>
      </c>
      <c r="BR16" s="31">
        <v>0.90694239290989653</v>
      </c>
      <c r="BS16" s="31">
        <v>0.90694239290989664</v>
      </c>
      <c r="BT16" s="31">
        <v>0.90103397341211222</v>
      </c>
      <c r="BU16" s="31">
        <v>0.91285081240768096</v>
      </c>
      <c r="BV16" s="31">
        <v>0.9231905465288035</v>
      </c>
      <c r="BW16" s="31">
        <v>0.94977843426883313</v>
      </c>
      <c r="BX16" s="31">
        <v>0.93205317577548008</v>
      </c>
      <c r="BY16" s="31">
        <v>0.9438700147710487</v>
      </c>
      <c r="BZ16" s="31">
        <v>0.92424562143912226</v>
      </c>
      <c r="CA16" s="31">
        <v>0.92614475627769577</v>
      </c>
      <c r="CB16" s="31">
        <v>0.94534711964549478</v>
      </c>
      <c r="CC16" s="31">
        <v>0.88035450516986702</v>
      </c>
      <c r="CD16" s="31">
        <v>0.89512555391432791</v>
      </c>
      <c r="CE16" s="31">
        <v>0.93205317577548008</v>
      </c>
      <c r="CF16" s="31">
        <v>0.95864106351550959</v>
      </c>
      <c r="CG16" s="31">
        <v>0.95864106351550959</v>
      </c>
      <c r="CH16" s="31">
        <v>0.92804389111626917</v>
      </c>
      <c r="CI16" s="31">
        <v>0.87659574468085111</v>
      </c>
      <c r="CJ16" s="31">
        <v>0.89364844903988183</v>
      </c>
      <c r="CK16" s="31">
        <v>0.8595744680851064</v>
      </c>
      <c r="CL16" s="31">
        <v>0.86808510638297876</v>
      </c>
      <c r="CM16" s="31">
        <v>0.92364170337738616</v>
      </c>
      <c r="CN16" s="31">
        <v>0.92804698972099853</v>
      </c>
      <c r="CO16" s="31">
        <v>0.94126284875183552</v>
      </c>
      <c r="CP16" s="31">
        <v>0.89869361571986262</v>
      </c>
      <c r="CQ16" s="31">
        <v>0.89985895627644574</v>
      </c>
      <c r="CR16" s="31">
        <v>0.900709219858156</v>
      </c>
      <c r="CS16" s="31">
        <v>0.87870239774330039</v>
      </c>
      <c r="CT16" s="31">
        <v>0.88716502115655849</v>
      </c>
      <c r="CU16" s="31">
        <v>0.88293370944992944</v>
      </c>
      <c r="CV16" s="31">
        <v>0.91063829787234041</v>
      </c>
      <c r="CW16" s="31">
        <v>0.89280677009873055</v>
      </c>
      <c r="CX16" s="31">
        <v>0.89325919606506587</v>
      </c>
      <c r="CY16" s="31">
        <v>0.87306064880112833</v>
      </c>
      <c r="CZ16" s="31">
        <v>0.89844851904090273</v>
      </c>
      <c r="DA16" s="31">
        <v>0.87306064880112833</v>
      </c>
      <c r="DB16" s="31">
        <v>0.86036671368124118</v>
      </c>
      <c r="DC16" s="31">
        <v>0.86036671368124118</v>
      </c>
      <c r="DD16" s="31">
        <v>0.90832157968970384</v>
      </c>
      <c r="DE16" s="31">
        <v>0.88434414668547245</v>
      </c>
      <c r="DF16" s="31">
        <v>0.87970985291154535</v>
      </c>
      <c r="DG16" s="31">
        <v>0.89139633286318753</v>
      </c>
      <c r="DH16" s="31">
        <v>0.89985895627644574</v>
      </c>
      <c r="DI16" s="31">
        <v>0.85190409026798308</v>
      </c>
      <c r="DJ16" s="31">
        <v>0.84908321579689705</v>
      </c>
      <c r="DK16" s="31">
        <v>0.90691114245416082</v>
      </c>
      <c r="DL16" s="31">
        <v>0.88575458392101547</v>
      </c>
      <c r="DM16" s="31">
        <v>0.90550070521861781</v>
      </c>
      <c r="DN16" s="31">
        <v>0.88434414668547245</v>
      </c>
      <c r="DO16" s="31">
        <v>0.8666666666666667</v>
      </c>
      <c r="DP16" s="31">
        <v>0.89280677009873055</v>
      </c>
      <c r="DQ16" s="31">
        <v>0.85673758865248228</v>
      </c>
      <c r="DR16" s="31">
        <v>0.86808510638297876</v>
      </c>
      <c r="DS16" s="31">
        <v>0.89219858156028364</v>
      </c>
      <c r="DT16" s="31">
        <v>0.91205673758865247</v>
      </c>
      <c r="DU16" s="31">
        <v>0.88794326241134747</v>
      </c>
      <c r="DV16" s="31">
        <v>0.88235638762302027</v>
      </c>
      <c r="DW16" s="31">
        <v>0.89219858156028364</v>
      </c>
      <c r="DX16" s="31">
        <v>0.88936170212765953</v>
      </c>
      <c r="DY16" s="31">
        <v>0.89503546099290776</v>
      </c>
      <c r="DZ16" s="31">
        <v>0.8936170212765957</v>
      </c>
      <c r="EA16" s="31">
        <v>0.89929078014184394</v>
      </c>
      <c r="EB16" s="31">
        <v>0.87234042553191493</v>
      </c>
      <c r="EC16" s="31">
        <v>0.88936170212765953</v>
      </c>
      <c r="ED16" s="31">
        <v>0.89017223910840926</v>
      </c>
      <c r="EE16" s="31">
        <v>0.87583444592790383</v>
      </c>
      <c r="EF16" s="31">
        <v>0.89787234042553188</v>
      </c>
      <c r="EG16" s="31">
        <v>0.88117489986648867</v>
      </c>
      <c r="EH16" s="31">
        <v>0.8865153538050734</v>
      </c>
      <c r="EI16" s="31">
        <v>0.88384512683578109</v>
      </c>
      <c r="EJ16" s="31">
        <v>0.91347517730496453</v>
      </c>
      <c r="EK16" s="31">
        <v>0.89586114819759677</v>
      </c>
      <c r="EL16" s="31">
        <v>0.8906540703376199</v>
      </c>
    </row>
    <row r="17" spans="2:142" x14ac:dyDescent="0.35">
      <c r="B17" s="19">
        <v>12</v>
      </c>
      <c r="C17" s="2">
        <v>626203</v>
      </c>
      <c r="D17" s="2">
        <v>533354</v>
      </c>
      <c r="E17" s="3"/>
      <c r="F17" s="3">
        <f t="shared" si="8"/>
        <v>0.85172699587833334</v>
      </c>
      <c r="G17" s="3"/>
      <c r="H17" s="3"/>
      <c r="I17" s="19" t="s">
        <v>48</v>
      </c>
      <c r="J17" s="2">
        <v>68166</v>
      </c>
      <c r="K17" s="2">
        <v>60610</v>
      </c>
      <c r="L17" s="2">
        <v>90776</v>
      </c>
      <c r="M17" s="2">
        <v>82427</v>
      </c>
      <c r="N17" s="2">
        <v>122763</v>
      </c>
      <c r="O17" s="2">
        <v>107652</v>
      </c>
      <c r="P17" s="2">
        <v>109774</v>
      </c>
      <c r="Q17" s="2">
        <v>95787</v>
      </c>
      <c r="R17" s="2">
        <v>92840</v>
      </c>
      <c r="S17" s="2">
        <v>81908</v>
      </c>
      <c r="T17" s="2">
        <v>87897</v>
      </c>
      <c r="U17" s="2">
        <v>78521</v>
      </c>
      <c r="V17" s="2">
        <v>63976</v>
      </c>
      <c r="W17" s="2">
        <v>57109</v>
      </c>
      <c r="X17" s="2">
        <v>636192</v>
      </c>
      <c r="Y17" s="2">
        <v>564014</v>
      </c>
      <c r="Z17" s="3"/>
      <c r="AA17" s="20"/>
      <c r="AB17" s="3"/>
      <c r="AC17" s="3"/>
      <c r="AD17" s="3"/>
      <c r="AE17" s="3"/>
      <c r="AF17" s="3"/>
      <c r="AG17" s="3"/>
      <c r="AH17" s="3"/>
      <c r="AI17" s="3"/>
      <c r="AL17" s="19" t="s">
        <v>72</v>
      </c>
      <c r="AM17" s="31">
        <v>0.86917562724014341</v>
      </c>
      <c r="AN17" s="31">
        <v>0.82601054481546576</v>
      </c>
      <c r="AO17" s="31">
        <v>0.82770870337477798</v>
      </c>
      <c r="AP17" s="31">
        <v>0.77837837837837842</v>
      </c>
      <c r="AQ17" s="31">
        <v>0.8676207513416816</v>
      </c>
      <c r="AR17" s="31">
        <v>0.84642233856893545</v>
      </c>
      <c r="AS17" s="31">
        <v>0.86274509803921573</v>
      </c>
      <c r="AT17" s="31">
        <v>0.8397230631083713</v>
      </c>
      <c r="AU17" s="31">
        <v>0.81228070175438594</v>
      </c>
      <c r="AV17" s="31">
        <v>0.81046931407942235</v>
      </c>
      <c r="AW17" s="31">
        <v>0.79174147217235191</v>
      </c>
      <c r="AX17" s="31">
        <v>0.7829181494661922</v>
      </c>
      <c r="AY17" s="31">
        <v>0.83859649122807023</v>
      </c>
      <c r="AZ17" s="31">
        <v>0.81578947368421051</v>
      </c>
      <c r="BA17" s="31">
        <v>0.85639229422066554</v>
      </c>
      <c r="BB17" s="31">
        <v>0.81545541380075692</v>
      </c>
      <c r="BC17" s="31">
        <v>0.83992805755395683</v>
      </c>
      <c r="BD17" s="31">
        <v>0.8291814946619217</v>
      </c>
      <c r="BE17" s="31">
        <v>0.83272727272727276</v>
      </c>
      <c r="BF17" s="31">
        <v>0.79432624113475181</v>
      </c>
      <c r="BG17" s="31">
        <v>0.86462093862815881</v>
      </c>
      <c r="BH17" s="31">
        <v>0.81932021466905192</v>
      </c>
      <c r="BI17" s="31">
        <v>0.86021505376344087</v>
      </c>
      <c r="BJ17" s="31">
        <v>0.83433132473407923</v>
      </c>
      <c r="BK17" s="31">
        <v>0.81573896353166986</v>
      </c>
      <c r="BL17" s="31">
        <v>0.82374100719424459</v>
      </c>
      <c r="BM17" s="31">
        <v>0.72778827977315685</v>
      </c>
      <c r="BN17" s="31">
        <v>0.78095238095238095</v>
      </c>
      <c r="BO17" s="31">
        <v>0.85185185185185186</v>
      </c>
      <c r="BP17" s="31">
        <v>0.86870503597122306</v>
      </c>
      <c r="BQ17" s="31">
        <v>0.86080586080586086</v>
      </c>
      <c r="BR17" s="31">
        <v>0.81851191144005531</v>
      </c>
      <c r="BS17" s="31">
        <v>0.79197080291970801</v>
      </c>
      <c r="BT17" s="31">
        <v>0.77859778597785978</v>
      </c>
      <c r="BU17" s="31">
        <v>0.78504672897196259</v>
      </c>
      <c r="BV17" s="31">
        <v>0.79061371841155237</v>
      </c>
      <c r="BW17" s="31">
        <v>0.85816876122082586</v>
      </c>
      <c r="BX17" s="31">
        <v>0.78330373001776199</v>
      </c>
      <c r="BY17" s="31">
        <v>0.80843585237258353</v>
      </c>
      <c r="BZ17" s="31">
        <v>0.79944819712746473</v>
      </c>
      <c r="CA17" s="31">
        <v>0.81109185441941078</v>
      </c>
      <c r="CB17" s="31">
        <v>0.82553956834532372</v>
      </c>
      <c r="CC17" s="31">
        <v>0.81184668989547037</v>
      </c>
      <c r="CD17" s="31">
        <v>0.8283185840707965</v>
      </c>
      <c r="CE17" s="31">
        <v>0.86298932384341642</v>
      </c>
      <c r="CF17" s="31">
        <v>0.85431654676258995</v>
      </c>
      <c r="CG17" s="31">
        <v>0.85231316725978645</v>
      </c>
      <c r="CH17" s="31">
        <v>0.83520224779954211</v>
      </c>
      <c r="CI17" s="31">
        <v>0.83508771929824566</v>
      </c>
      <c r="CJ17" s="31">
        <v>0.8</v>
      </c>
      <c r="CK17" s="31">
        <v>0.83157894736842108</v>
      </c>
      <c r="CL17" s="31">
        <v>0.81052631578947365</v>
      </c>
      <c r="CM17" s="31">
        <v>0.84736842105263155</v>
      </c>
      <c r="CN17" s="31">
        <v>0.83130434782608698</v>
      </c>
      <c r="CO17" s="31">
        <v>0.83741258741258739</v>
      </c>
      <c r="CP17" s="31">
        <v>0.82761119124963523</v>
      </c>
      <c r="CQ17" s="31">
        <v>0.91388400702987693</v>
      </c>
      <c r="CR17" s="31">
        <v>0.79930191972076792</v>
      </c>
      <c r="CS17" s="31">
        <v>0.86749116607773846</v>
      </c>
      <c r="CT17" s="31">
        <v>0.83012259194395799</v>
      </c>
      <c r="CU17" s="31">
        <v>0.87346221441124783</v>
      </c>
      <c r="CV17" s="31">
        <v>0.8034782608695652</v>
      </c>
      <c r="CW17" s="31">
        <v>0.83157894736842108</v>
      </c>
      <c r="CX17" s="31">
        <v>0.84561701534593936</v>
      </c>
      <c r="CY17" s="31">
        <v>0.83304042179261861</v>
      </c>
      <c r="CZ17" s="31">
        <v>0.84695652173913039</v>
      </c>
      <c r="DA17" s="31">
        <v>0.84885764499121263</v>
      </c>
      <c r="DB17" s="31">
        <v>0.85509838998211096</v>
      </c>
      <c r="DC17" s="31">
        <v>0.82434782608695656</v>
      </c>
      <c r="DD17" s="31">
        <v>0.85964912280701755</v>
      </c>
      <c r="DE17" s="31">
        <v>0.82291666666666663</v>
      </c>
      <c r="DF17" s="31">
        <v>0.84155237058081611</v>
      </c>
      <c r="DG17" s="31">
        <v>0.87027027027027026</v>
      </c>
      <c r="DH17" s="31">
        <v>0.86428571428571432</v>
      </c>
      <c r="DI17" s="31">
        <v>0.8666666666666667</v>
      </c>
      <c r="DJ17" s="31">
        <v>0.86545454545454548</v>
      </c>
      <c r="DK17" s="31">
        <v>0.84163701067615659</v>
      </c>
      <c r="DL17" s="31">
        <v>0.8482142857142857</v>
      </c>
      <c r="DM17" s="31">
        <v>0.8922800718132855</v>
      </c>
      <c r="DN17" s="31">
        <v>0.8641155092687034</v>
      </c>
      <c r="DO17" s="31">
        <v>0.86524822695035464</v>
      </c>
      <c r="DP17" s="31">
        <v>0.84532374100719421</v>
      </c>
      <c r="DQ17" s="31">
        <v>0.85890652557319225</v>
      </c>
      <c r="DR17" s="31">
        <v>0.83185840707964598</v>
      </c>
      <c r="DS17" s="31">
        <v>0.83865248226950351</v>
      </c>
      <c r="DT17" s="31">
        <v>0.86727272727272731</v>
      </c>
      <c r="DU17" s="31">
        <v>0.85008818342151671</v>
      </c>
      <c r="DV17" s="31">
        <v>0.85105004193916201</v>
      </c>
      <c r="DW17" s="31">
        <v>0.82562277580071175</v>
      </c>
      <c r="DX17" s="31">
        <v>0.82123893805309733</v>
      </c>
      <c r="DY17" s="31">
        <v>0.80526315789473679</v>
      </c>
      <c r="DZ17" s="31">
        <v>0.85614035087719298</v>
      </c>
      <c r="EA17" s="31">
        <v>0.84642857142857142</v>
      </c>
      <c r="EB17" s="31">
        <v>0.85918003565062384</v>
      </c>
      <c r="EC17" s="31">
        <v>0.87056737588652477</v>
      </c>
      <c r="ED17" s="31">
        <v>0.84063445794163705</v>
      </c>
      <c r="EE17" s="31">
        <v>0.81786339754816118</v>
      </c>
      <c r="EF17" s="31">
        <v>0.83047945205479456</v>
      </c>
      <c r="EG17" s="31">
        <v>0.82517482517482521</v>
      </c>
      <c r="EH17" s="31">
        <v>0.79437609841827772</v>
      </c>
      <c r="EI17" s="31">
        <v>0.83419689119170981</v>
      </c>
      <c r="EJ17" s="31">
        <v>0.87328767123287676</v>
      </c>
      <c r="EK17" s="31">
        <v>0.89043478260869569</v>
      </c>
      <c r="EL17" s="31">
        <v>0.83797330260419145</v>
      </c>
    </row>
    <row r="18" spans="2:142" x14ac:dyDescent="0.35">
      <c r="B18" s="19">
        <v>13</v>
      </c>
      <c r="C18" s="2">
        <v>627334</v>
      </c>
      <c r="D18" s="2">
        <v>538212</v>
      </c>
      <c r="E18" s="3"/>
      <c r="F18" s="3">
        <f t="shared" si="8"/>
        <v>0.85793532631740033</v>
      </c>
      <c r="G18" s="3"/>
      <c r="H18" s="3"/>
      <c r="I18" s="19" t="s">
        <v>49</v>
      </c>
      <c r="J18" s="2">
        <v>67712</v>
      </c>
      <c r="K18" s="2">
        <v>58438</v>
      </c>
      <c r="L18" s="2">
        <v>90335</v>
      </c>
      <c r="M18" s="2">
        <v>81215</v>
      </c>
      <c r="N18" s="2">
        <v>123391</v>
      </c>
      <c r="O18" s="2">
        <v>106529</v>
      </c>
      <c r="P18" s="2">
        <v>109903</v>
      </c>
      <c r="Q18" s="2">
        <v>94390</v>
      </c>
      <c r="R18" s="2">
        <v>94337</v>
      </c>
      <c r="S18" s="2">
        <v>81818</v>
      </c>
      <c r="T18" s="2">
        <v>87348</v>
      </c>
      <c r="U18" s="2">
        <v>76875</v>
      </c>
      <c r="V18" s="2">
        <v>63242</v>
      </c>
      <c r="W18" s="2">
        <v>55748</v>
      </c>
      <c r="X18" s="2">
        <v>636268</v>
      </c>
      <c r="Y18" s="2">
        <v>555013</v>
      </c>
      <c r="Z18" s="3"/>
      <c r="AA18" s="3"/>
      <c r="AB18" s="3"/>
      <c r="AC18" s="3"/>
      <c r="AD18" s="3"/>
      <c r="AE18" s="3"/>
      <c r="AF18" s="3"/>
      <c r="AG18" s="3"/>
      <c r="AH18" s="3"/>
      <c r="AL18" s="19" t="s">
        <v>73</v>
      </c>
      <c r="AM18" s="31">
        <v>0.88908765652951705</v>
      </c>
      <c r="AN18" s="31">
        <v>0.90685413005272408</v>
      </c>
      <c r="AO18" s="31">
        <v>0.84832451499118167</v>
      </c>
      <c r="AP18" s="31">
        <v>0.87344028520499106</v>
      </c>
      <c r="AQ18" s="31">
        <v>0.88172043010752688</v>
      </c>
      <c r="AR18" s="31">
        <v>0.88566243194192373</v>
      </c>
      <c r="AS18" s="31">
        <v>0.87477638640429334</v>
      </c>
      <c r="AT18" s="31">
        <v>0.879980833604594</v>
      </c>
      <c r="AU18" s="31">
        <v>0.86101083032490977</v>
      </c>
      <c r="AV18" s="31">
        <v>0.8704663212435233</v>
      </c>
      <c r="AW18" s="31">
        <v>0.88117001828153563</v>
      </c>
      <c r="AX18" s="31">
        <v>0.87636363636363634</v>
      </c>
      <c r="AY18" s="31">
        <v>0.88495575221238942</v>
      </c>
      <c r="AZ18" s="31">
        <v>0.88028169014084512</v>
      </c>
      <c r="BA18" s="31">
        <v>0.92743362831858411</v>
      </c>
      <c r="BB18" s="31">
        <v>0.88309741098363204</v>
      </c>
      <c r="BC18" s="31">
        <v>0.94237918215613381</v>
      </c>
      <c r="BD18" s="31">
        <v>0.91985428051001816</v>
      </c>
      <c r="BE18" s="31">
        <v>0.91202872531418311</v>
      </c>
      <c r="BF18" s="31">
        <v>0.87636363636363634</v>
      </c>
      <c r="BG18" s="31">
        <v>0.92766726943942135</v>
      </c>
      <c r="BH18" s="31">
        <v>0.94717668488160289</v>
      </c>
      <c r="BI18" s="31">
        <v>0.95081967213114749</v>
      </c>
      <c r="BJ18" s="31">
        <v>0.9251842072565919</v>
      </c>
      <c r="BK18" s="31">
        <v>0.72837370242214527</v>
      </c>
      <c r="BL18" s="31">
        <v>0.86751361161524498</v>
      </c>
      <c r="BM18" s="31">
        <v>0.74165202108963091</v>
      </c>
      <c r="BN18" s="31">
        <v>0.78212290502793291</v>
      </c>
      <c r="BO18" s="31">
        <v>0.77676950998185113</v>
      </c>
      <c r="BP18" s="31">
        <v>0.87523277467411542</v>
      </c>
      <c r="BQ18" s="31">
        <v>0.82846715328467158</v>
      </c>
      <c r="BR18" s="31">
        <v>0.80001881115651319</v>
      </c>
      <c r="BS18" s="31">
        <v>0.85191956124314439</v>
      </c>
      <c r="BT18" s="31">
        <v>0.79819819819819815</v>
      </c>
      <c r="BU18" s="31">
        <v>0.83303085299455537</v>
      </c>
      <c r="BV18" s="31">
        <v>0.83699633699633702</v>
      </c>
      <c r="BW18" s="31">
        <v>0.86520947176684881</v>
      </c>
      <c r="BX18" s="31">
        <v>0.86702127659574468</v>
      </c>
      <c r="BY18" s="31">
        <v>0.89130434782608692</v>
      </c>
      <c r="BZ18" s="31">
        <v>0.84909714937441638</v>
      </c>
      <c r="CA18" s="31">
        <v>0.88277087033747781</v>
      </c>
      <c r="CB18" s="31">
        <v>0.88051470588235292</v>
      </c>
      <c r="CC18" s="31">
        <v>0.8651079136690647</v>
      </c>
      <c r="CD18" s="31">
        <v>0.9017857142857143</v>
      </c>
      <c r="CE18" s="31">
        <v>0.88969258589511757</v>
      </c>
      <c r="CF18" s="31">
        <v>0.89233576642335766</v>
      </c>
      <c r="CG18" s="31">
        <v>0.87033747779751336</v>
      </c>
      <c r="CH18" s="31">
        <v>0.88322071918437117</v>
      </c>
      <c r="CI18" s="31">
        <v>0.94542253521126762</v>
      </c>
      <c r="CJ18" s="31">
        <v>0.91561938958707356</v>
      </c>
      <c r="CK18" s="31">
        <v>0.8876811594202898</v>
      </c>
      <c r="CL18" s="31">
        <v>0.87188612099644125</v>
      </c>
      <c r="CM18" s="31">
        <v>0.92482517482517479</v>
      </c>
      <c r="CN18" s="31">
        <v>0.9348591549295775</v>
      </c>
      <c r="CO18" s="31">
        <v>0.92212389380530968</v>
      </c>
      <c r="CP18" s="31">
        <v>0.91463106125359062</v>
      </c>
      <c r="CQ18" s="31">
        <v>0.91341256366723256</v>
      </c>
      <c r="CR18" s="31">
        <v>0.93214285714285716</v>
      </c>
      <c r="CS18" s="31">
        <v>0.91423670668953683</v>
      </c>
      <c r="CT18" s="31">
        <v>0.88225255972696248</v>
      </c>
      <c r="CU18" s="31">
        <v>0.90202702702702697</v>
      </c>
      <c r="CV18" s="31">
        <v>0.93153153153153156</v>
      </c>
      <c r="CW18" s="31">
        <v>0.87368421052631584</v>
      </c>
      <c r="CX18" s="31">
        <v>0.90704106518735195</v>
      </c>
      <c r="CY18" s="31">
        <v>0.9268707482993197</v>
      </c>
      <c r="CZ18" s="31">
        <v>0.92768959435626097</v>
      </c>
      <c r="DA18" s="31">
        <v>0.8904109589041096</v>
      </c>
      <c r="DB18" s="31">
        <v>0.87350427350427351</v>
      </c>
      <c r="DC18" s="31">
        <v>0.91080617495711835</v>
      </c>
      <c r="DD18" s="31">
        <v>0.87393526405451449</v>
      </c>
      <c r="DE18" s="31">
        <v>0.91467576791808869</v>
      </c>
      <c r="DF18" s="31">
        <v>0.90255611171338346</v>
      </c>
      <c r="DG18" s="31">
        <v>0.91878172588832485</v>
      </c>
      <c r="DH18" s="31">
        <v>0.90051457975986282</v>
      </c>
      <c r="DI18" s="31">
        <v>0.92128801431127016</v>
      </c>
      <c r="DJ18" s="31">
        <v>0.92882562277580072</v>
      </c>
      <c r="DK18" s="31">
        <v>0.89813242784380309</v>
      </c>
      <c r="DL18" s="31">
        <v>0.88316151202749138</v>
      </c>
      <c r="DM18" s="31">
        <v>0.90582191780821919</v>
      </c>
      <c r="DN18" s="31">
        <v>0.90807511434496746</v>
      </c>
      <c r="DO18" s="31">
        <v>0.96052631578947367</v>
      </c>
      <c r="DP18" s="31">
        <v>0.92459605026929981</v>
      </c>
      <c r="DQ18" s="31">
        <v>0.924953095684803</v>
      </c>
      <c r="DR18" s="31">
        <v>0.93320610687022898</v>
      </c>
      <c r="DS18" s="31">
        <v>0.92086330935251803</v>
      </c>
      <c r="DT18" s="31">
        <v>0.93321299638989175</v>
      </c>
      <c r="DU18" s="31">
        <v>0.90876565295169942</v>
      </c>
      <c r="DV18" s="31">
        <v>0.92944621818684492</v>
      </c>
      <c r="DW18" s="31">
        <v>0.94609665427509293</v>
      </c>
      <c r="DX18" s="31">
        <v>0.93702290076335881</v>
      </c>
      <c r="DY18" s="31">
        <v>0.90842490842490842</v>
      </c>
      <c r="DZ18" s="31">
        <v>0.92435424354243545</v>
      </c>
      <c r="EA18" s="31">
        <v>0.94063079777365488</v>
      </c>
      <c r="EB18" s="31">
        <v>0.95274102079395084</v>
      </c>
      <c r="EC18" s="31">
        <v>0.91604477611940294</v>
      </c>
      <c r="ED18" s="31">
        <v>0.93218790024182929</v>
      </c>
      <c r="EE18" s="31">
        <v>0.93518518518518523</v>
      </c>
      <c r="EF18" s="31">
        <v>0.93357933579335795</v>
      </c>
      <c r="EG18" s="31">
        <v>0.94639556377079481</v>
      </c>
      <c r="EH18" s="31">
        <v>0.91143911439114389</v>
      </c>
      <c r="EI18" s="31">
        <v>0.94074074074074077</v>
      </c>
      <c r="EJ18" s="31">
        <v>0.96124031007751942</v>
      </c>
      <c r="EK18" s="31">
        <v>0.92537313432835822</v>
      </c>
      <c r="EL18" s="31">
        <v>0.9362790548981571</v>
      </c>
    </row>
    <row r="19" spans="2:142" x14ac:dyDescent="0.35">
      <c r="B19" s="19" t="s">
        <v>39</v>
      </c>
      <c r="C19" s="2">
        <v>8176850</v>
      </c>
      <c r="D19" s="2">
        <v>7084593</v>
      </c>
      <c r="E19" s="3"/>
      <c r="F19" s="3">
        <f t="shared" si="8"/>
        <v>0.86642080996960935</v>
      </c>
      <c r="G19" s="3"/>
      <c r="I19" s="19" t="s">
        <v>50</v>
      </c>
      <c r="J19" s="2">
        <v>66795</v>
      </c>
      <c r="K19" s="2">
        <v>58420</v>
      </c>
      <c r="L19" s="2">
        <v>89240</v>
      </c>
      <c r="M19" s="2">
        <v>80309</v>
      </c>
      <c r="N19" s="2">
        <v>122991</v>
      </c>
      <c r="O19" s="2">
        <v>107655</v>
      </c>
      <c r="P19" s="2">
        <v>109693</v>
      </c>
      <c r="Q19" s="2">
        <v>94311</v>
      </c>
      <c r="R19" s="2">
        <v>94743</v>
      </c>
      <c r="S19" s="2">
        <v>82097</v>
      </c>
      <c r="T19" s="2">
        <v>86425</v>
      </c>
      <c r="U19" s="2">
        <v>76771</v>
      </c>
      <c r="V19" s="2">
        <v>63652</v>
      </c>
      <c r="W19" s="2">
        <v>55395</v>
      </c>
      <c r="X19" s="2">
        <v>633539</v>
      </c>
      <c r="Y19" s="2">
        <v>554958</v>
      </c>
      <c r="AL19" s="19" t="s">
        <v>74</v>
      </c>
      <c r="AM19" s="31">
        <v>0.90438247011952189</v>
      </c>
      <c r="AN19" s="31">
        <v>0.92266666666666663</v>
      </c>
      <c r="AO19" s="31">
        <v>0.87757909215955987</v>
      </c>
      <c r="AP19" s="31">
        <v>0.89635854341736698</v>
      </c>
      <c r="AQ19" s="31">
        <v>0.88335517693315857</v>
      </c>
      <c r="AR19" s="31">
        <v>0.91534391534391535</v>
      </c>
      <c r="AS19" s="31">
        <v>0.88874172185430467</v>
      </c>
      <c r="AT19" s="31">
        <v>0.89834679807064188</v>
      </c>
      <c r="AU19" s="31">
        <v>0.92021276595744683</v>
      </c>
      <c r="AV19" s="31">
        <v>0.92994505494505497</v>
      </c>
      <c r="AW19" s="31">
        <v>0.93723252496433662</v>
      </c>
      <c r="AX19" s="31">
        <v>0.92577030812324934</v>
      </c>
      <c r="AY19" s="31">
        <v>0.93825503355704698</v>
      </c>
      <c r="AZ19" s="31">
        <v>0.92722371967654982</v>
      </c>
      <c r="BA19" s="31">
        <v>0.92214765100671137</v>
      </c>
      <c r="BB19" s="31">
        <v>0.92868386546148507</v>
      </c>
      <c r="BC19" s="31">
        <v>0.88251366120218577</v>
      </c>
      <c r="BD19" s="31">
        <v>0.94459833795013848</v>
      </c>
      <c r="BE19" s="31">
        <v>0.87343532684283731</v>
      </c>
      <c r="BF19" s="31">
        <v>0.88317107093184977</v>
      </c>
      <c r="BG19" s="31">
        <v>0.86147757255936674</v>
      </c>
      <c r="BH19" s="31">
        <v>0.93614130434782605</v>
      </c>
      <c r="BI19" s="31">
        <v>0.90896921017402943</v>
      </c>
      <c r="BJ19" s="31">
        <v>0.89861521200117611</v>
      </c>
      <c r="BK19" s="31">
        <v>0.77777777777777779</v>
      </c>
      <c r="BL19" s="31">
        <v>0.90264255910987479</v>
      </c>
      <c r="BM19" s="31">
        <v>0.79056865464632453</v>
      </c>
      <c r="BN19" s="31">
        <v>0.81893004115226342</v>
      </c>
      <c r="BO19" s="31">
        <v>0.8610354223433242</v>
      </c>
      <c r="BP19" s="31">
        <v>0.88595271210013904</v>
      </c>
      <c r="BQ19" s="31">
        <v>0.90833333333333333</v>
      </c>
      <c r="BR19" s="31">
        <v>0.84932007149471966</v>
      </c>
      <c r="BS19" s="31">
        <v>0.85219707057256988</v>
      </c>
      <c r="BT19" s="31">
        <v>0.85967302452316074</v>
      </c>
      <c r="BU19" s="31">
        <v>0.87956698240866038</v>
      </c>
      <c r="BV19" s="31">
        <v>0.9028727770177839</v>
      </c>
      <c r="BW19" s="31">
        <v>0.91700680272108848</v>
      </c>
      <c r="BX19" s="31">
        <v>0.91393442622950816</v>
      </c>
      <c r="BY19" s="31">
        <v>0.85582010582010581</v>
      </c>
      <c r="BZ19" s="31">
        <v>0.88301016989898251</v>
      </c>
      <c r="CA19" s="31">
        <v>0.81496062992125984</v>
      </c>
      <c r="CB19" s="31">
        <v>0.89516129032258063</v>
      </c>
      <c r="CC19" s="31">
        <v>0.8273572377158035</v>
      </c>
      <c r="CD19" s="31">
        <v>0.81842105263157894</v>
      </c>
      <c r="CE19" s="31">
        <v>0.83984375</v>
      </c>
      <c r="CF19" s="31">
        <v>0.90240641711229952</v>
      </c>
      <c r="CG19" s="31">
        <v>0.88666666666666671</v>
      </c>
      <c r="CH19" s="31">
        <v>0.85497386348145565</v>
      </c>
      <c r="CI19" s="31">
        <v>0.83599999999999997</v>
      </c>
      <c r="CJ19" s="31">
        <v>0.82830930537352554</v>
      </c>
      <c r="CK19" s="31">
        <v>0.82061579651941097</v>
      </c>
      <c r="CL19" s="31">
        <v>0.83967391304347827</v>
      </c>
      <c r="CM19" s="31">
        <v>0.84174624829467937</v>
      </c>
      <c r="CN19" s="31">
        <v>0.83401360544217684</v>
      </c>
      <c r="CO19" s="31">
        <v>0.80727762803234504</v>
      </c>
      <c r="CP19" s="31">
        <v>0.82966235667223087</v>
      </c>
      <c r="CQ19" s="31">
        <v>0.85919165580182533</v>
      </c>
      <c r="CR19" s="31">
        <v>0.85427807486631013</v>
      </c>
      <c r="CS19" s="31">
        <v>0.86649214659685869</v>
      </c>
      <c r="CT19" s="31">
        <v>0.86754966887417218</v>
      </c>
      <c r="CU19" s="31">
        <v>0.86893840104849274</v>
      </c>
      <c r="CV19" s="31">
        <v>0.86002691790040375</v>
      </c>
      <c r="CW19" s="31">
        <v>0.85941644562334218</v>
      </c>
      <c r="CX19" s="31">
        <v>0.86227047295877213</v>
      </c>
      <c r="CY19" s="31">
        <v>0.86842105263157898</v>
      </c>
      <c r="CZ19" s="31">
        <v>0.89342105263157889</v>
      </c>
      <c r="DA19" s="31">
        <v>0.86764705882352944</v>
      </c>
      <c r="DB19" s="31">
        <v>0.86915887850467288</v>
      </c>
      <c r="DC19" s="31">
        <v>0.88159588159588165</v>
      </c>
      <c r="DD19" s="31">
        <v>0.89790575916230364</v>
      </c>
      <c r="DE19" s="31">
        <v>0.86770428015564205</v>
      </c>
      <c r="DF19" s="31">
        <v>0.87797913764359825</v>
      </c>
      <c r="DG19" s="31">
        <v>0.86859395532194483</v>
      </c>
      <c r="DH19" s="31">
        <v>0.89841688654353558</v>
      </c>
      <c r="DI19" s="31">
        <v>0.85751978891820579</v>
      </c>
      <c r="DJ19" s="31">
        <v>0.88770053475935828</v>
      </c>
      <c r="DK19" s="31">
        <v>0.87483530961791833</v>
      </c>
      <c r="DL19" s="31">
        <v>0.884514435695538</v>
      </c>
      <c r="DM19" s="31">
        <v>0.85732984293193715</v>
      </c>
      <c r="DN19" s="31">
        <v>0.87555867911263408</v>
      </c>
      <c r="DO19" s="31">
        <v>0.86238532110091748</v>
      </c>
      <c r="DP19" s="31">
        <v>0.89700130378096476</v>
      </c>
      <c r="DQ19" s="31">
        <v>0.86399999999999999</v>
      </c>
      <c r="DR19" s="31">
        <v>0.88384512683578109</v>
      </c>
      <c r="DS19" s="31">
        <v>0.88219895287958117</v>
      </c>
      <c r="DT19" s="31">
        <v>0.90445026178010468</v>
      </c>
      <c r="DU19" s="31">
        <v>0.86811779769526254</v>
      </c>
      <c r="DV19" s="31">
        <v>0.8802855377246589</v>
      </c>
      <c r="DW19" s="31">
        <v>0.88363171355498726</v>
      </c>
      <c r="DX19" s="31">
        <v>0.89364461738002599</v>
      </c>
      <c r="DY19" s="31">
        <v>0.89530201342281879</v>
      </c>
      <c r="DZ19" s="31">
        <v>0.88621151271753684</v>
      </c>
      <c r="EA19" s="31">
        <v>0.8886010362694301</v>
      </c>
      <c r="EB19" s="31">
        <v>0.88960205391527603</v>
      </c>
      <c r="EC19" s="31">
        <v>0.88788659793814428</v>
      </c>
      <c r="ED19" s="31">
        <v>0.88926850645688837</v>
      </c>
      <c r="EE19" s="31">
        <v>0.87874837027379404</v>
      </c>
      <c r="EF19" s="31">
        <v>0.91677852348993294</v>
      </c>
      <c r="EG19" s="31">
        <v>0.83223249669749011</v>
      </c>
      <c r="EH19" s="31">
        <v>0.86021505376344087</v>
      </c>
      <c r="EI19" s="31">
        <v>0.88627450980392153</v>
      </c>
      <c r="EJ19" s="31">
        <v>0.89618922470433637</v>
      </c>
      <c r="EK19" s="31">
        <v>0.9</v>
      </c>
      <c r="EL19" s="31">
        <v>0.88149116839041675</v>
      </c>
    </row>
    <row r="20" spans="2:142" x14ac:dyDescent="0.35">
      <c r="E20" s="3"/>
      <c r="F20" s="3" t="e">
        <f t="shared" si="8"/>
        <v>#DIV/0!</v>
      </c>
      <c r="G20" s="3"/>
      <c r="I20" s="19" t="s">
        <v>51</v>
      </c>
      <c r="J20" s="2">
        <v>67090</v>
      </c>
      <c r="K20" s="2">
        <v>58321</v>
      </c>
      <c r="L20" s="2">
        <v>88168</v>
      </c>
      <c r="M20" s="2">
        <v>77935</v>
      </c>
      <c r="N20" s="2">
        <v>123849</v>
      </c>
      <c r="O20" s="2">
        <v>107441</v>
      </c>
      <c r="P20" s="2">
        <v>110919</v>
      </c>
      <c r="Q20" s="2">
        <v>94833</v>
      </c>
      <c r="R20" s="2">
        <v>94456</v>
      </c>
      <c r="S20" s="2">
        <v>81606</v>
      </c>
      <c r="T20" s="2">
        <v>86383</v>
      </c>
      <c r="U20" s="2">
        <v>76109</v>
      </c>
      <c r="V20" s="2">
        <v>63637</v>
      </c>
      <c r="W20" s="2">
        <v>54954</v>
      </c>
      <c r="X20" s="2">
        <v>634502</v>
      </c>
      <c r="Y20" s="2">
        <v>551199</v>
      </c>
      <c r="AL20" s="19" t="s">
        <v>75</v>
      </c>
      <c r="AM20" s="31">
        <v>0.90721649484536082</v>
      </c>
      <c r="AN20" s="31">
        <v>0.86472148541114058</v>
      </c>
      <c r="AO20" s="31">
        <v>0.74484536082474229</v>
      </c>
      <c r="AP20" s="31">
        <v>0.80246913580246915</v>
      </c>
      <c r="AQ20" s="31">
        <v>0.91803278688524592</v>
      </c>
      <c r="AR20" s="31">
        <v>0.89655172413793105</v>
      </c>
      <c r="AS20" s="31">
        <v>0.92167101827676245</v>
      </c>
      <c r="AT20" s="31">
        <v>0.86507257231195034</v>
      </c>
      <c r="AU20" s="31">
        <v>0.96103896103896103</v>
      </c>
      <c r="AV20" s="31">
        <v>0.86842105263157898</v>
      </c>
      <c r="AW20" s="31">
        <v>0.85882352941176465</v>
      </c>
      <c r="AX20" s="31">
        <v>0.83175355450236965</v>
      </c>
      <c r="AY20" s="31">
        <v>0.94117647058823528</v>
      </c>
      <c r="AZ20" s="31">
        <v>0.92346938775510201</v>
      </c>
      <c r="BA20" s="31">
        <v>0.9338422391857506</v>
      </c>
      <c r="BB20" s="31">
        <v>0.90264645644482311</v>
      </c>
      <c r="BC20" s="31">
        <v>0.94488188976377951</v>
      </c>
      <c r="BD20" s="31">
        <v>0.93094629156010233</v>
      </c>
      <c r="BE20" s="31">
        <v>0.93351800554016617</v>
      </c>
      <c r="BF20" s="31">
        <v>0.84558823529411764</v>
      </c>
      <c r="BG20" s="31">
        <v>0.92428198433420361</v>
      </c>
      <c r="BH20" s="31">
        <v>0.96382428940568476</v>
      </c>
      <c r="BI20" s="31">
        <v>0.95324675324675323</v>
      </c>
      <c r="BJ20" s="31">
        <v>0.92804106416354382</v>
      </c>
      <c r="BK20" s="31">
        <v>0.86021505376344087</v>
      </c>
      <c r="BL20" s="31">
        <v>0.9442970822281167</v>
      </c>
      <c r="BM20" s="31">
        <v>0.88948787061994605</v>
      </c>
      <c r="BN20" s="31">
        <v>0.8863049095607235</v>
      </c>
      <c r="BO20" s="31">
        <v>0.88</v>
      </c>
      <c r="BP20" s="31">
        <v>0.93005181347150256</v>
      </c>
      <c r="BQ20" s="31">
        <v>0.86987951807228914</v>
      </c>
      <c r="BR20" s="31">
        <v>0.89431946395943118</v>
      </c>
      <c r="BS20" s="31">
        <v>0.91022443890274318</v>
      </c>
      <c r="BT20" s="31">
        <v>0.87338501291989667</v>
      </c>
      <c r="BU20" s="31">
        <v>0.78636363636363638</v>
      </c>
      <c r="BV20" s="31">
        <v>0.91645569620253164</v>
      </c>
      <c r="BW20" s="31">
        <v>0.90594059405940597</v>
      </c>
      <c r="BX20" s="31">
        <v>0.87723785166240409</v>
      </c>
      <c r="BY20" s="31">
        <v>0.95049504950495045</v>
      </c>
      <c r="BZ20" s="31">
        <v>0.88858603994508123</v>
      </c>
      <c r="CA20" s="31">
        <v>0.92805755395683454</v>
      </c>
      <c r="CB20" s="31">
        <v>0.93809523809523809</v>
      </c>
      <c r="CC20" s="31">
        <v>0.92821782178217827</v>
      </c>
      <c r="CD20" s="31">
        <v>0.91538461538461535</v>
      </c>
      <c r="CE20" s="31">
        <v>0.89156626506024095</v>
      </c>
      <c r="CF20" s="31">
        <v>0.900709219858156</v>
      </c>
      <c r="CG20" s="31">
        <v>0.93525179856115104</v>
      </c>
      <c r="CH20" s="31">
        <v>0.91961178752834505</v>
      </c>
      <c r="CI20" s="31">
        <v>0.97289972899728994</v>
      </c>
      <c r="CJ20" s="31">
        <v>0.9580246913580247</v>
      </c>
      <c r="CK20" s="31">
        <v>0.92227979274611394</v>
      </c>
      <c r="CL20" s="31">
        <v>0.92225201072386054</v>
      </c>
      <c r="CM20" s="31">
        <v>0.93902439024390238</v>
      </c>
      <c r="CN20" s="31">
        <v>0.94146341463414629</v>
      </c>
      <c r="CO20" s="31">
        <v>0.93170731707317078</v>
      </c>
      <c r="CP20" s="31">
        <v>0.94109304939664418</v>
      </c>
      <c r="CQ20" s="31">
        <v>0.9375</v>
      </c>
      <c r="CR20" s="31">
        <v>0.92</v>
      </c>
      <c r="CS20" s="31">
        <v>0.96453900709219853</v>
      </c>
      <c r="CT20" s="31">
        <v>0.93350383631713552</v>
      </c>
      <c r="CU20" s="31">
        <v>0.94210526315789478</v>
      </c>
      <c r="CV20" s="31">
        <v>0.94818652849740936</v>
      </c>
      <c r="CW20" s="31">
        <v>0.95250000000000001</v>
      </c>
      <c r="CX20" s="31">
        <v>0.94261923358066269</v>
      </c>
      <c r="CY20" s="31">
        <v>0.94647201946472015</v>
      </c>
      <c r="CZ20" s="31">
        <v>0.96938775510204078</v>
      </c>
      <c r="DA20" s="31">
        <v>0.95511221945137159</v>
      </c>
      <c r="DB20" s="31">
        <v>0.95465994962216627</v>
      </c>
      <c r="DC20" s="31">
        <v>0.94403892944038925</v>
      </c>
      <c r="DD20" s="31">
        <v>0.92628992628992624</v>
      </c>
      <c r="DE20" s="31">
        <v>0.93781094527363185</v>
      </c>
      <c r="DF20" s="31">
        <v>0.94768167780632084</v>
      </c>
      <c r="DG20" s="31">
        <v>0.96495327102803741</v>
      </c>
      <c r="DH20" s="31">
        <v>0.94696969696969702</v>
      </c>
      <c r="DI20" s="31">
        <v>0.95011876484560565</v>
      </c>
      <c r="DJ20" s="31">
        <v>0.93596059113300489</v>
      </c>
      <c r="DK20" s="31">
        <v>0.9610983981693364</v>
      </c>
      <c r="DL20" s="31">
        <v>0.97549019607843135</v>
      </c>
      <c r="DM20" s="31">
        <v>0.97836538461538458</v>
      </c>
      <c r="DN20" s="31">
        <v>0.95899375754849958</v>
      </c>
      <c r="DO20" s="31">
        <v>0.91885441527446299</v>
      </c>
      <c r="DP20" s="31">
        <v>0.9385342789598109</v>
      </c>
      <c r="DQ20" s="31">
        <v>0.90776699029126218</v>
      </c>
      <c r="DR20" s="31">
        <v>0.93525179856115104</v>
      </c>
      <c r="DS20" s="31">
        <v>0.9563106796116505</v>
      </c>
      <c r="DT20" s="31">
        <v>0.9385342789598109</v>
      </c>
      <c r="DU20" s="31">
        <v>0.944578313253012</v>
      </c>
      <c r="DV20" s="31">
        <v>0.93426153641587995</v>
      </c>
      <c r="DW20" s="31">
        <v>0.95157384987893467</v>
      </c>
      <c r="DX20" s="31">
        <v>0.94588235294117651</v>
      </c>
      <c r="DY20" s="31">
        <v>0.89552238805970152</v>
      </c>
      <c r="DZ20" s="31">
        <v>0.90120481927710838</v>
      </c>
      <c r="EA20" s="31">
        <v>0.92431192660550454</v>
      </c>
      <c r="EB20" s="31">
        <v>0.93967517401392109</v>
      </c>
      <c r="EC20" s="31">
        <v>0.9489559164733179</v>
      </c>
      <c r="ED20" s="31">
        <v>0.92958948960709498</v>
      </c>
      <c r="EE20" s="31">
        <v>0.95465393794749398</v>
      </c>
      <c r="EF20" s="31">
        <v>0.92788461538461542</v>
      </c>
      <c r="EG20" s="31">
        <v>0.94326241134751776</v>
      </c>
      <c r="EH20" s="31">
        <v>0.94724220623501199</v>
      </c>
      <c r="EI20" s="31">
        <v>0.95724465558194771</v>
      </c>
      <c r="EJ20" s="31">
        <v>0.93721973094170408</v>
      </c>
      <c r="EK20" s="31">
        <v>0.93002257336343119</v>
      </c>
      <c r="EL20" s="31">
        <v>0.94250430440024602</v>
      </c>
    </row>
    <row r="21" spans="2:142" x14ac:dyDescent="0.35">
      <c r="F21" s="3"/>
      <c r="I21" s="19" t="s">
        <v>39</v>
      </c>
      <c r="J21" s="2">
        <v>875168</v>
      </c>
      <c r="K21" s="2">
        <v>762383</v>
      </c>
      <c r="L21" s="2">
        <v>1143419</v>
      </c>
      <c r="M21" s="2">
        <v>1009507</v>
      </c>
      <c r="N21" s="2">
        <v>1581756</v>
      </c>
      <c r="O21" s="2">
        <v>1361816</v>
      </c>
      <c r="P21" s="2">
        <v>1420095</v>
      </c>
      <c r="Q21" s="2">
        <v>1209517</v>
      </c>
      <c r="R21" s="2">
        <v>1215731</v>
      </c>
      <c r="S21" s="2">
        <v>1045410</v>
      </c>
      <c r="T21" s="2">
        <v>1116049</v>
      </c>
      <c r="U21" s="2">
        <v>977980</v>
      </c>
      <c r="V21" s="2">
        <v>824632</v>
      </c>
      <c r="W21" s="2">
        <v>717980</v>
      </c>
      <c r="X21" s="2">
        <v>8176850</v>
      </c>
      <c r="Y21" s="2">
        <v>7084593</v>
      </c>
      <c r="AL21" s="19" t="s">
        <v>76</v>
      </c>
      <c r="AM21" s="31">
        <v>0.9563567362428842</v>
      </c>
      <c r="AN21" s="31">
        <v>0.94423791821561343</v>
      </c>
      <c r="AO21" s="31">
        <v>0.90520446096654272</v>
      </c>
      <c r="AP21" s="31">
        <v>0.92585551330798477</v>
      </c>
      <c r="AQ21" s="31">
        <v>0.94074074074074077</v>
      </c>
      <c r="AR21" s="31">
        <v>0.94095940959409596</v>
      </c>
      <c r="AS21" s="31">
        <v>0.91181988742964348</v>
      </c>
      <c r="AT21" s="31">
        <v>0.93216780949964362</v>
      </c>
      <c r="AU21" s="31">
        <v>0.98032200357781751</v>
      </c>
      <c r="AV21" s="31">
        <v>0.955719557195572</v>
      </c>
      <c r="AW21" s="31">
        <v>0.94525547445255476</v>
      </c>
      <c r="AX21" s="31">
        <v>0.93877551020408168</v>
      </c>
      <c r="AY21" s="31">
        <v>0.96936936936936935</v>
      </c>
      <c r="AZ21" s="31">
        <v>0.97592592592592597</v>
      </c>
      <c r="BA21" s="31">
        <v>0.96892138939670935</v>
      </c>
      <c r="BB21" s="31">
        <v>0.96204131858886155</v>
      </c>
      <c r="BC21" s="31">
        <v>0.9477756286266924</v>
      </c>
      <c r="BD21" s="31">
        <v>0.93445692883895126</v>
      </c>
      <c r="BE21" s="31">
        <v>0.91304347826086951</v>
      </c>
      <c r="BF21" s="31">
        <v>0.88888888888888884</v>
      </c>
      <c r="BG21" s="31">
        <v>0.94401544401544402</v>
      </c>
      <c r="BH21" s="31">
        <v>0.97175141242937857</v>
      </c>
      <c r="BI21" s="31">
        <v>0.96190476190476193</v>
      </c>
      <c r="BJ21" s="31">
        <v>0.93740522042356955</v>
      </c>
      <c r="BK21" s="31">
        <v>0.73886639676113364</v>
      </c>
      <c r="BL21" s="31">
        <v>0.90666666666666662</v>
      </c>
      <c r="BM21" s="31">
        <v>0.7803921568627451</v>
      </c>
      <c r="BN21" s="31">
        <v>0.85909980430528377</v>
      </c>
      <c r="BO21" s="31">
        <v>0.86032388663967607</v>
      </c>
      <c r="BP21" s="31">
        <v>0.91603053435114501</v>
      </c>
      <c r="BQ21" s="31">
        <v>0.86862745098039218</v>
      </c>
      <c r="BR21" s="31">
        <v>0.84714384236672025</v>
      </c>
      <c r="BS21" s="31">
        <v>0.91136801541425816</v>
      </c>
      <c r="BT21" s="31">
        <v>0.88076923076923075</v>
      </c>
      <c r="BU21" s="31">
        <v>0.90267175572519087</v>
      </c>
      <c r="BV21" s="31">
        <v>0.90431519699812379</v>
      </c>
      <c r="BW21" s="31">
        <v>0.92884615384615388</v>
      </c>
      <c r="BX21" s="31">
        <v>0.89871086556169433</v>
      </c>
      <c r="BY21" s="31">
        <v>0.89849624060150379</v>
      </c>
      <c r="BZ21" s="31">
        <v>0.90359677984516507</v>
      </c>
      <c r="CA21" s="31">
        <v>0.86395759717314491</v>
      </c>
      <c r="CB21" s="31">
        <v>0.94029850746268662</v>
      </c>
      <c r="CC21" s="31">
        <v>0.83725135623869806</v>
      </c>
      <c r="CD21" s="31">
        <v>0.82531194295900179</v>
      </c>
      <c r="CE21" s="31">
        <v>0.88162544169611312</v>
      </c>
      <c r="CF21" s="31">
        <v>0.92907801418439717</v>
      </c>
      <c r="CG21" s="31">
        <v>0.89734513274336281</v>
      </c>
      <c r="CH21" s="31">
        <v>0.88212399892248627</v>
      </c>
      <c r="CI21" s="31">
        <v>0.91234347048300535</v>
      </c>
      <c r="CJ21" s="31">
        <v>0.84352517985611508</v>
      </c>
      <c r="CK21" s="31">
        <v>0.88021778584392019</v>
      </c>
      <c r="CL21" s="31">
        <v>0.88029465930018413</v>
      </c>
      <c r="CM21" s="31">
        <v>0.87033747779751336</v>
      </c>
      <c r="CN21" s="31">
        <v>0.88309352517985606</v>
      </c>
      <c r="CO21" s="31">
        <v>0.86298932384341642</v>
      </c>
      <c r="CP21" s="31">
        <v>0.87611448890057297</v>
      </c>
      <c r="CQ21" s="31">
        <v>0.88636363636363635</v>
      </c>
      <c r="CR21" s="31">
        <v>0.88172043010752688</v>
      </c>
      <c r="CS21" s="31">
        <v>0.90647482014388492</v>
      </c>
      <c r="CT21" s="31">
        <v>0.86940966010733456</v>
      </c>
      <c r="CU21" s="31">
        <v>0.89930555555555558</v>
      </c>
      <c r="CV21" s="31">
        <v>0.92691622103386806</v>
      </c>
      <c r="CW21" s="31">
        <v>0.89929328621908122</v>
      </c>
      <c r="CX21" s="31">
        <v>0.89564051564726965</v>
      </c>
      <c r="CY21" s="31">
        <v>0.88214285714285712</v>
      </c>
      <c r="CZ21" s="31">
        <v>0.87090909090909085</v>
      </c>
      <c r="DA21" s="31">
        <v>0.85204991087344029</v>
      </c>
      <c r="DB21" s="31">
        <v>0.82801418439716312</v>
      </c>
      <c r="DC21" s="31">
        <v>0.88150807899461403</v>
      </c>
      <c r="DD21" s="31">
        <v>0.85611510791366907</v>
      </c>
      <c r="DE21" s="31">
        <v>0.86738351254480284</v>
      </c>
      <c r="DF21" s="31">
        <v>0.86258896325366241</v>
      </c>
      <c r="DG21" s="31">
        <v>0.88689407540394971</v>
      </c>
      <c r="DH21" s="31">
        <v>0.91516245487364623</v>
      </c>
      <c r="DI21" s="31">
        <v>0.85257548845470688</v>
      </c>
      <c r="DJ21" s="31">
        <v>0.84739676840215439</v>
      </c>
      <c r="DK21" s="31">
        <v>0.8848920863309353</v>
      </c>
      <c r="DL21" s="31">
        <v>0.91564147627416526</v>
      </c>
      <c r="DM21" s="31">
        <v>0.88286713286713292</v>
      </c>
      <c r="DN21" s="31">
        <v>0.88363278322952721</v>
      </c>
      <c r="DO21" s="31">
        <v>0.92028985507246375</v>
      </c>
      <c r="DP21" s="31">
        <v>0.87634408602150538</v>
      </c>
      <c r="DQ21" s="31">
        <v>0.91176470588235292</v>
      </c>
      <c r="DR21" s="31">
        <v>0.90340909090909094</v>
      </c>
      <c r="DS21" s="31">
        <v>0.90780141843971629</v>
      </c>
      <c r="DT21" s="31">
        <v>0.9194991055456172</v>
      </c>
      <c r="DU21" s="31">
        <v>0.91833030852994557</v>
      </c>
      <c r="DV21" s="31">
        <v>0.90820551005724159</v>
      </c>
      <c r="DW21" s="31">
        <v>0.85397412199630318</v>
      </c>
      <c r="DX21" s="31">
        <v>0.9044943820224719</v>
      </c>
      <c r="DY21" s="31">
        <v>0.85474860335195535</v>
      </c>
      <c r="DZ21" s="31">
        <v>0.85526315789473684</v>
      </c>
      <c r="EA21" s="31">
        <v>0.87132352941176472</v>
      </c>
      <c r="EB21" s="31">
        <v>0.90239410681399634</v>
      </c>
      <c r="EC21" s="31">
        <v>0.91866913123844729</v>
      </c>
      <c r="ED21" s="31">
        <v>0.88012386181852509</v>
      </c>
      <c r="EE21" s="31">
        <v>0.91681735985533452</v>
      </c>
      <c r="EF21" s="31">
        <v>0.91603053435114501</v>
      </c>
      <c r="EG21" s="31">
        <v>0.86</v>
      </c>
      <c r="EH21" s="31">
        <v>0.85383244206773623</v>
      </c>
      <c r="EI21" s="31">
        <v>0.92222222222222228</v>
      </c>
      <c r="EJ21" s="31">
        <v>0.92293577981651376</v>
      </c>
      <c r="EK21" s="31">
        <v>0.93888888888888888</v>
      </c>
      <c r="EL21" s="31">
        <v>0.90438960388597722</v>
      </c>
    </row>
    <row r="22" spans="2:142" x14ac:dyDescent="0.35">
      <c r="B22" s="21"/>
      <c r="C22" s="21"/>
      <c r="D22" s="21"/>
      <c r="E22" s="21"/>
      <c r="F22" s="21"/>
      <c r="G22" s="21"/>
      <c r="AL22" s="19" t="s">
        <v>77</v>
      </c>
      <c r="AM22" s="31">
        <v>0.93914081145584727</v>
      </c>
      <c r="AN22" s="31">
        <v>0.92831105710814099</v>
      </c>
      <c r="AO22" s="31">
        <v>0.92371871275327766</v>
      </c>
      <c r="AP22" s="31">
        <v>0.93556085918854415</v>
      </c>
      <c r="AQ22" s="31">
        <v>0.93682955899880815</v>
      </c>
      <c r="AR22" s="31">
        <v>0.95072115384615385</v>
      </c>
      <c r="AS22" s="31">
        <v>0.91016548463356972</v>
      </c>
      <c r="AT22" s="31">
        <v>0.93206394828347749</v>
      </c>
      <c r="AU22" s="31">
        <v>0.93867924528301883</v>
      </c>
      <c r="AV22" s="31">
        <v>0.93103448275862066</v>
      </c>
      <c r="AW22" s="31">
        <v>0.90521327014218012</v>
      </c>
      <c r="AX22" s="31">
        <v>0.94431279620853081</v>
      </c>
      <c r="AY22" s="31">
        <v>0.94823529411764707</v>
      </c>
      <c r="AZ22" s="31">
        <v>0.94201183431952662</v>
      </c>
      <c r="BA22" s="31">
        <v>0.91812865497076024</v>
      </c>
      <c r="BB22" s="31">
        <v>0.93251651111432643</v>
      </c>
      <c r="BC22" s="31">
        <v>0.93424036281179135</v>
      </c>
      <c r="BD22" s="31">
        <v>0.9419642857142857</v>
      </c>
      <c r="BE22" s="31">
        <v>0.90362811791383224</v>
      </c>
      <c r="BF22" s="31">
        <v>0.9071347678369196</v>
      </c>
      <c r="BG22" s="31">
        <v>0.95899772209567202</v>
      </c>
      <c r="BH22" s="31">
        <v>0.9470124013528749</v>
      </c>
      <c r="BI22" s="31">
        <v>0.96380090497737558</v>
      </c>
      <c r="BJ22" s="31">
        <v>0.93668265181467869</v>
      </c>
      <c r="BK22" s="31">
        <v>0.78359096313912013</v>
      </c>
      <c r="BL22" s="31">
        <v>0.89746543778801846</v>
      </c>
      <c r="BM22" s="31">
        <v>0.79523809523809519</v>
      </c>
      <c r="BN22" s="31">
        <v>0.82198327359617684</v>
      </c>
      <c r="BO22" s="31">
        <v>0.83734249713631159</v>
      </c>
      <c r="BP22" s="31">
        <v>0.90674157303370784</v>
      </c>
      <c r="BQ22" s="31">
        <v>0.88092485549132948</v>
      </c>
      <c r="BR22" s="31">
        <v>0.84618381363182282</v>
      </c>
      <c r="BS22" s="31">
        <v>0.86107784431137724</v>
      </c>
      <c r="BT22" s="31">
        <v>0.84327485380116962</v>
      </c>
      <c r="BU22" s="31">
        <v>0.86987951807228914</v>
      </c>
      <c r="BV22" s="31">
        <v>0.89077669902912626</v>
      </c>
      <c r="BW22" s="31">
        <v>0.86095017381228278</v>
      </c>
      <c r="BX22" s="31">
        <v>0.86091954022988504</v>
      </c>
      <c r="BY22" s="31">
        <v>0.87111622554660528</v>
      </c>
      <c r="BZ22" s="31">
        <v>0.86542783640039078</v>
      </c>
      <c r="CA22" s="31">
        <v>0.87104337631887452</v>
      </c>
      <c r="CB22" s="31">
        <v>0.86713286713286708</v>
      </c>
      <c r="CC22" s="31">
        <v>0.87349397590361444</v>
      </c>
      <c r="CD22" s="31">
        <v>0.89242053789731046</v>
      </c>
      <c r="CE22" s="31">
        <v>0.87385321100917435</v>
      </c>
      <c r="CF22" s="31">
        <v>0.93444576877234808</v>
      </c>
      <c r="CG22" s="31">
        <v>0.89328537170263789</v>
      </c>
      <c r="CH22" s="31">
        <v>0.88652501553383245</v>
      </c>
      <c r="CI22" s="31">
        <v>0.87676056338028174</v>
      </c>
      <c r="CJ22" s="31">
        <v>0.89333333333333331</v>
      </c>
      <c r="CK22" s="31">
        <v>0.87069988137603793</v>
      </c>
      <c r="CL22" s="31">
        <v>0.88319427890345648</v>
      </c>
      <c r="CM22" s="31">
        <v>0.91113744075829384</v>
      </c>
      <c r="CN22" s="31">
        <v>0.87283236994219648</v>
      </c>
      <c r="CO22" s="31">
        <v>0.91405342624854824</v>
      </c>
      <c r="CP22" s="31">
        <v>0.8888587562774497</v>
      </c>
      <c r="CQ22" s="31">
        <v>0.90559440559440563</v>
      </c>
      <c r="CR22" s="31">
        <v>0.88647342995169087</v>
      </c>
      <c r="CS22" s="31">
        <v>0.89189189189189189</v>
      </c>
      <c r="CT22" s="31">
        <v>0.87896592244418337</v>
      </c>
      <c r="CU22" s="31">
        <v>0.89273356401384085</v>
      </c>
      <c r="CV22" s="31">
        <v>0.87660069848661237</v>
      </c>
      <c r="CW22" s="31">
        <v>0.86735870818915806</v>
      </c>
      <c r="CX22" s="31">
        <v>0.88565980293882618</v>
      </c>
      <c r="CY22" s="31">
        <v>0.8679458239277652</v>
      </c>
      <c r="CZ22" s="31">
        <v>0.89331770222743256</v>
      </c>
      <c r="DA22" s="31">
        <v>0.84667418263810601</v>
      </c>
      <c r="DB22" s="31">
        <v>0.8688340807174888</v>
      </c>
      <c r="DC22" s="31">
        <v>0.90665110851808639</v>
      </c>
      <c r="DD22" s="31">
        <v>0.88915094339622647</v>
      </c>
      <c r="DE22" s="31">
        <v>0.8820093457943925</v>
      </c>
      <c r="DF22" s="31">
        <v>0.87922616960278532</v>
      </c>
      <c r="DG22" s="31">
        <v>0.90552995391705071</v>
      </c>
      <c r="DH22" s="31">
        <v>0.89261744966442957</v>
      </c>
      <c r="DI22" s="31">
        <v>0.91155660377358494</v>
      </c>
      <c r="DJ22" s="31">
        <v>0.89534883720930236</v>
      </c>
      <c r="DK22" s="31">
        <v>0.89378531073446332</v>
      </c>
      <c r="DL22" s="31">
        <v>0.88876529477196886</v>
      </c>
      <c r="DM22" s="31">
        <v>0.88713318284424381</v>
      </c>
      <c r="DN22" s="31">
        <v>0.89639094755929194</v>
      </c>
      <c r="DO22" s="31">
        <v>0.89729119638826182</v>
      </c>
      <c r="DP22" s="31">
        <v>0.89805269186712489</v>
      </c>
      <c r="DQ22" s="31">
        <v>0.87627695800227012</v>
      </c>
      <c r="DR22" s="31">
        <v>0.88522727272727275</v>
      </c>
      <c r="DS22" s="31">
        <v>0.8861607142857143</v>
      </c>
      <c r="DT22" s="31">
        <v>0.88461538461538458</v>
      </c>
      <c r="DU22" s="31">
        <v>0.90610859728506787</v>
      </c>
      <c r="DV22" s="31">
        <v>0.8905332593101567</v>
      </c>
      <c r="DW22" s="31">
        <v>0.89220183486238536</v>
      </c>
      <c r="DX22" s="31">
        <v>0.8738839285714286</v>
      </c>
      <c r="DY22" s="31">
        <v>0.90443686006825941</v>
      </c>
      <c r="DZ22" s="31">
        <v>0.91531322505800461</v>
      </c>
      <c r="EA22" s="31">
        <v>0.8933030646992054</v>
      </c>
      <c r="EB22" s="31">
        <v>0.8936170212765957</v>
      </c>
      <c r="EC22" s="31">
        <v>0.87485907553551301</v>
      </c>
      <c r="ED22" s="31">
        <v>0.89251643001019887</v>
      </c>
      <c r="EE22" s="31">
        <v>0.93894009216589858</v>
      </c>
      <c r="EF22" s="31">
        <v>0.92468134414831982</v>
      </c>
      <c r="EG22" s="31">
        <v>0.92800000000000005</v>
      </c>
      <c r="EH22" s="31">
        <v>0.898876404494382</v>
      </c>
      <c r="EI22" s="31">
        <v>0.93771626297577859</v>
      </c>
      <c r="EJ22" s="31">
        <v>0.89967284623773169</v>
      </c>
      <c r="EK22" s="31">
        <v>0.91694725028058366</v>
      </c>
      <c r="EL22" s="31">
        <v>0.92069060004324199</v>
      </c>
    </row>
    <row r="23" spans="2:142" x14ac:dyDescent="0.35">
      <c r="B23" s="20"/>
      <c r="C23" s="20"/>
      <c r="D23" s="20"/>
      <c r="E23" s="20"/>
      <c r="F23" s="20"/>
      <c r="G23" s="20"/>
      <c r="AL23" s="19" t="s">
        <v>78</v>
      </c>
      <c r="AM23" s="31">
        <v>0.88165680473372776</v>
      </c>
      <c r="AN23" s="31">
        <v>0.8624260355029586</v>
      </c>
      <c r="AO23" s="31">
        <v>0.85798816568047342</v>
      </c>
      <c r="AP23" s="31">
        <v>0.85946745562130178</v>
      </c>
      <c r="AQ23" s="31">
        <v>0.86390532544378695</v>
      </c>
      <c r="AR23" s="31">
        <v>0.88165680473372776</v>
      </c>
      <c r="AS23" s="31">
        <v>0.85650887573964496</v>
      </c>
      <c r="AT23" s="31">
        <v>0.86622992392223164</v>
      </c>
      <c r="AU23" s="31">
        <v>0.8748159057437408</v>
      </c>
      <c r="AV23" s="31">
        <v>0.90680473372781067</v>
      </c>
      <c r="AW23" s="31">
        <v>0.84319526627218933</v>
      </c>
      <c r="AX23" s="31">
        <v>0.83875739644970415</v>
      </c>
      <c r="AY23" s="31">
        <v>0.89380530973451322</v>
      </c>
      <c r="AZ23" s="31">
        <v>0.8949704142011834</v>
      </c>
      <c r="BA23" s="31">
        <v>0.88774002954209752</v>
      </c>
      <c r="BB23" s="31">
        <v>0.87715557938160538</v>
      </c>
      <c r="BC23" s="31">
        <v>0.94674556213017746</v>
      </c>
      <c r="BD23" s="31">
        <v>0.92307692307692313</v>
      </c>
      <c r="BE23" s="31">
        <v>0.89053254437869822</v>
      </c>
      <c r="BF23" s="31">
        <v>0.88609467455621305</v>
      </c>
      <c r="BG23" s="31">
        <v>0.92011834319526631</v>
      </c>
      <c r="BH23" s="31">
        <v>0.93047337278106512</v>
      </c>
      <c r="BI23" s="31">
        <v>0.94822485207100593</v>
      </c>
      <c r="BJ23" s="31">
        <v>0.92075232459847867</v>
      </c>
      <c r="BK23" s="31">
        <v>0.72781065088757402</v>
      </c>
      <c r="BL23" s="31">
        <v>0.9349112426035503</v>
      </c>
      <c r="BM23" s="31">
        <v>0.75147928994082835</v>
      </c>
      <c r="BN23" s="31">
        <v>0.78106508875739644</v>
      </c>
      <c r="BO23" s="31">
        <v>0.86094674556213013</v>
      </c>
      <c r="BP23" s="31">
        <v>0.91124260355029585</v>
      </c>
      <c r="BQ23" s="31">
        <v>0.88461538461538458</v>
      </c>
      <c r="BR23" s="31">
        <v>0.83601014370245152</v>
      </c>
      <c r="BS23" s="31">
        <v>0.78698224852071008</v>
      </c>
      <c r="BT23" s="31">
        <v>0.79289940828402372</v>
      </c>
      <c r="BU23" s="31">
        <v>0.78402366863905326</v>
      </c>
      <c r="BV23" s="31">
        <v>0.83136094674556216</v>
      </c>
      <c r="BW23" s="31">
        <v>0.87426035502958577</v>
      </c>
      <c r="BX23" s="31">
        <v>0.89349112426035504</v>
      </c>
      <c r="BY23" s="31">
        <v>0.89940828402366868</v>
      </c>
      <c r="BZ23" s="31">
        <v>0.83748943364327977</v>
      </c>
      <c r="CA23" s="31">
        <v>0.91907514450867056</v>
      </c>
      <c r="CB23" s="31">
        <v>0.91272189349112431</v>
      </c>
      <c r="CC23" s="31">
        <v>0.92307692307692313</v>
      </c>
      <c r="CD23" s="31">
        <v>0.89895988112927194</v>
      </c>
      <c r="CE23" s="31">
        <v>0.9240687679083095</v>
      </c>
      <c r="CF23" s="31">
        <v>0.96888260254596892</v>
      </c>
      <c r="CG23" s="31">
        <v>0.9630156472261735</v>
      </c>
      <c r="CH23" s="31">
        <v>0.92997155141234888</v>
      </c>
      <c r="CI23" s="31">
        <v>0.94542772861356927</v>
      </c>
      <c r="CJ23" s="31">
        <v>0.94273127753303965</v>
      </c>
      <c r="CK23" s="31">
        <v>0.91323529411764703</v>
      </c>
      <c r="CL23" s="31">
        <v>0.9247787610619469</v>
      </c>
      <c r="CM23" s="31">
        <v>0.95400593471810091</v>
      </c>
      <c r="CN23" s="31">
        <v>0.96582466567607728</v>
      </c>
      <c r="CO23" s="31">
        <v>0.95314787701317716</v>
      </c>
      <c r="CP23" s="31">
        <v>0.94273593410479395</v>
      </c>
      <c r="CQ23" s="31">
        <v>0.9429429429429429</v>
      </c>
      <c r="CR23" s="31">
        <v>0.9276410998552822</v>
      </c>
      <c r="CS23" s="31">
        <v>0.92598187311178248</v>
      </c>
      <c r="CT23" s="31">
        <v>0.91741741741741745</v>
      </c>
      <c r="CU23" s="31">
        <v>0.95007564296520419</v>
      </c>
      <c r="CV23" s="31">
        <v>0.97751124437781112</v>
      </c>
      <c r="CW23" s="31">
        <v>0.97293233082706765</v>
      </c>
      <c r="CX23" s="31">
        <v>0.94492893592821547</v>
      </c>
      <c r="CY23" s="31">
        <v>0.91419656786271453</v>
      </c>
      <c r="CZ23" s="31">
        <v>0.9504504504504504</v>
      </c>
      <c r="DA23" s="31">
        <v>0.88557993730407525</v>
      </c>
      <c r="DB23" s="31">
        <v>0.88114104595879561</v>
      </c>
      <c r="DC23" s="31">
        <v>0.93435114503816796</v>
      </c>
      <c r="DD23" s="31">
        <v>0.94345238095238093</v>
      </c>
      <c r="DE23" s="31">
        <v>0.93721286370597245</v>
      </c>
      <c r="DF23" s="31">
        <v>0.9209120558960795</v>
      </c>
      <c r="DG23" s="31">
        <v>0.91143317230273757</v>
      </c>
      <c r="DH23" s="31">
        <v>0.93809523809523809</v>
      </c>
      <c r="DI23" s="31">
        <v>0.8689320388349514</v>
      </c>
      <c r="DJ23" s="31">
        <v>0.85532591414944359</v>
      </c>
      <c r="DK23" s="31">
        <v>0.89703588143525737</v>
      </c>
      <c r="DL23" s="31">
        <v>0.96184419713831482</v>
      </c>
      <c r="DM23" s="31">
        <v>0.91718750000000004</v>
      </c>
      <c r="DN23" s="31">
        <v>0.9071219917079919</v>
      </c>
      <c r="DO23" s="31">
        <v>0.89672977624784855</v>
      </c>
      <c r="DP23" s="31">
        <v>0.8887096774193548</v>
      </c>
      <c r="DQ23" s="31">
        <v>0.87132352941176472</v>
      </c>
      <c r="DR23" s="31">
        <v>0.84352517985611508</v>
      </c>
      <c r="DS23" s="31">
        <v>0.90540540540540537</v>
      </c>
      <c r="DT23" s="31">
        <v>0.90939044481054365</v>
      </c>
      <c r="DU23" s="31">
        <v>0.88720538720538722</v>
      </c>
      <c r="DV23" s="31">
        <v>0.88604134290805991</v>
      </c>
      <c r="DW23" s="31">
        <v>0.91475409836065569</v>
      </c>
      <c r="DX23" s="31">
        <v>0.89018302828618967</v>
      </c>
      <c r="DY23" s="31">
        <v>0.85438596491228069</v>
      </c>
      <c r="DZ23" s="31">
        <v>0.78434782608695652</v>
      </c>
      <c r="EA23" s="31">
        <v>0.91147540983606556</v>
      </c>
      <c r="EB23" s="31">
        <v>0.92724196277495774</v>
      </c>
      <c r="EC23" s="31">
        <v>0.9297385620915033</v>
      </c>
      <c r="ED23" s="31">
        <v>0.88744669319265845</v>
      </c>
      <c r="EE23" s="31">
        <v>0.85451197053407002</v>
      </c>
      <c r="EF23" s="31">
        <v>0.88869863013698636</v>
      </c>
      <c r="EG23" s="31">
        <v>0.83302411873840443</v>
      </c>
      <c r="EH23" s="31">
        <v>0.89239332096474955</v>
      </c>
      <c r="EI23" s="31">
        <v>0.86346863468634683</v>
      </c>
      <c r="EJ23" s="31">
        <v>0.91187050359712229</v>
      </c>
      <c r="EK23" s="31">
        <v>0.90727272727272723</v>
      </c>
      <c r="EL23" s="31">
        <v>0.87874855799005791</v>
      </c>
    </row>
    <row r="24" spans="2:142" x14ac:dyDescent="0.35">
      <c r="B24" s="20"/>
      <c r="C24" s="20"/>
      <c r="D24" s="20"/>
      <c r="E24" s="20"/>
      <c r="F24" s="20"/>
      <c r="G24" s="20"/>
      <c r="AL24" s="19" t="s">
        <v>79</v>
      </c>
      <c r="AM24" s="31">
        <v>0.82173913043478264</v>
      </c>
      <c r="AN24" s="31">
        <v>0.84782608695652173</v>
      </c>
      <c r="AO24" s="31">
        <v>0.77173913043478259</v>
      </c>
      <c r="AP24" s="31">
        <v>0.7804347826086957</v>
      </c>
      <c r="AQ24" s="31">
        <v>0.7847826086956522</v>
      </c>
      <c r="AR24" s="31">
        <v>0.83695652173913049</v>
      </c>
      <c r="AS24" s="31">
        <v>0.83043478260869563</v>
      </c>
      <c r="AT24" s="31">
        <v>0.81055900621118016</v>
      </c>
      <c r="AU24" s="31">
        <v>0.86128364389233958</v>
      </c>
      <c r="AV24" s="31">
        <v>0.79565217391304344</v>
      </c>
      <c r="AW24" s="31">
        <v>0.86542443064182195</v>
      </c>
      <c r="AX24" s="31">
        <v>0.87991718426501031</v>
      </c>
      <c r="AY24" s="31">
        <v>0.90269151138716353</v>
      </c>
      <c r="AZ24" s="31">
        <v>0.89565217391304353</v>
      </c>
      <c r="BA24" s="31">
        <v>0.90062111801242239</v>
      </c>
      <c r="BB24" s="31">
        <v>0.87160603371783485</v>
      </c>
      <c r="BC24" s="31">
        <v>0.86599999999999999</v>
      </c>
      <c r="BD24" s="31">
        <v>0.91598360655737709</v>
      </c>
      <c r="BE24" s="31">
        <v>0.86</v>
      </c>
      <c r="BF24" s="31">
        <v>0.85799999999999998</v>
      </c>
      <c r="BG24" s="31">
        <v>0.86799999999999999</v>
      </c>
      <c r="BH24" s="31">
        <v>0.92181069958847739</v>
      </c>
      <c r="BI24" s="31">
        <v>0.91400000000000003</v>
      </c>
      <c r="BJ24" s="31">
        <v>0.88625632944940769</v>
      </c>
      <c r="BK24" s="31">
        <v>0.78600000000000003</v>
      </c>
      <c r="BL24" s="31">
        <v>0.89200000000000002</v>
      </c>
      <c r="BM24" s="31">
        <v>0.78</v>
      </c>
      <c r="BN24" s="31">
        <v>0.81399999999999995</v>
      </c>
      <c r="BO24" s="31">
        <v>0.86399999999999999</v>
      </c>
      <c r="BP24" s="31">
        <v>0.878</v>
      </c>
      <c r="BQ24" s="31">
        <v>0.878</v>
      </c>
      <c r="BR24" s="31">
        <v>0.84171428571428575</v>
      </c>
      <c r="BS24" s="31">
        <v>0.85799999999999998</v>
      </c>
      <c r="BT24" s="31">
        <v>0.89800000000000002</v>
      </c>
      <c r="BU24" s="31">
        <v>0.86799999999999999</v>
      </c>
      <c r="BV24" s="31">
        <v>0.80800000000000005</v>
      </c>
      <c r="BW24" s="31">
        <v>0.92600000000000005</v>
      </c>
      <c r="BX24" s="31">
        <v>0.93799999999999994</v>
      </c>
      <c r="BY24" s="31">
        <v>0.91800000000000004</v>
      </c>
      <c r="BZ24" s="31">
        <v>0.88771428571428579</v>
      </c>
      <c r="CA24" s="31">
        <v>0.88805970149253732</v>
      </c>
      <c r="CB24" s="31">
        <v>0.86199999999999999</v>
      </c>
      <c r="CC24" s="31">
        <v>0.844106463878327</v>
      </c>
      <c r="CD24" s="31">
        <v>0.884765625</v>
      </c>
      <c r="CE24" s="31">
        <v>0.88076923076923075</v>
      </c>
      <c r="CF24" s="31">
        <v>0.85397412199630318</v>
      </c>
      <c r="CG24" s="31">
        <v>0.890625</v>
      </c>
      <c r="CH24" s="31">
        <v>0.87204287759091403</v>
      </c>
      <c r="CI24" s="31">
        <v>0.89674952198852775</v>
      </c>
      <c r="CJ24" s="31">
        <v>0.92277992277992282</v>
      </c>
      <c r="CK24" s="31">
        <v>0.8687872763419483</v>
      </c>
      <c r="CL24" s="31">
        <v>0.91468253968253965</v>
      </c>
      <c r="CM24" s="31">
        <v>0.90802348336594907</v>
      </c>
      <c r="CN24" s="31">
        <v>0.91389432485322897</v>
      </c>
      <c r="CO24" s="31">
        <v>0.93063583815028905</v>
      </c>
      <c r="CP24" s="31">
        <v>0.90793612959462944</v>
      </c>
      <c r="CQ24" s="31">
        <v>0.92197125256673507</v>
      </c>
      <c r="CR24" s="31">
        <v>0.90784313725490196</v>
      </c>
      <c r="CS24" s="31">
        <v>0.85742574257425741</v>
      </c>
      <c r="CT24" s="31">
        <v>0.90674603174603174</v>
      </c>
      <c r="CU24" s="31">
        <v>0.91578947368421049</v>
      </c>
      <c r="CV24" s="31">
        <v>0.93063583815028905</v>
      </c>
      <c r="CW24" s="31">
        <v>0.90797546012269936</v>
      </c>
      <c r="CX24" s="31">
        <v>0.90691241944273204</v>
      </c>
      <c r="CY24" s="31">
        <v>0.88600000000000001</v>
      </c>
      <c r="CZ24" s="31">
        <v>0.91141732283464572</v>
      </c>
      <c r="DA24" s="31">
        <v>0.88640973630831643</v>
      </c>
      <c r="DB24" s="31">
        <v>0.89328063241106714</v>
      </c>
      <c r="DC24" s="31">
        <v>0.91400000000000003</v>
      </c>
      <c r="DD24" s="31">
        <v>0.90697674418604646</v>
      </c>
      <c r="DE24" s="31">
        <v>0.88801571709233795</v>
      </c>
      <c r="DF24" s="31">
        <v>0.89801430754748768</v>
      </c>
      <c r="DG24" s="31">
        <v>0.90157480314960625</v>
      </c>
      <c r="DH24" s="31">
        <v>0.92585170340681366</v>
      </c>
      <c r="DI24" s="31">
        <v>0.89443378119001915</v>
      </c>
      <c r="DJ24" s="31">
        <v>0.89961389961389959</v>
      </c>
      <c r="DK24" s="31">
        <v>0.86692759295499022</v>
      </c>
      <c r="DL24" s="31">
        <v>0.937037037037037</v>
      </c>
      <c r="DM24" s="31">
        <v>0.89803921568627454</v>
      </c>
      <c r="DN24" s="31">
        <v>0.90335400471980587</v>
      </c>
      <c r="DO24" s="31">
        <v>0.86652542372881358</v>
      </c>
      <c r="DP24" s="31">
        <v>0.92047713717693835</v>
      </c>
      <c r="DQ24" s="31">
        <v>0.92515592515592515</v>
      </c>
      <c r="DR24" s="31">
        <v>0.88819875776397517</v>
      </c>
      <c r="DS24" s="31">
        <v>0.85897435897435892</v>
      </c>
      <c r="DT24" s="31">
        <v>0.905811623246493</v>
      </c>
      <c r="DU24" s="31">
        <v>0.89662027833001989</v>
      </c>
      <c r="DV24" s="31">
        <v>0.89453764348236053</v>
      </c>
      <c r="DW24" s="31">
        <v>0.78916827852998062</v>
      </c>
      <c r="DX24" s="31">
        <v>0.89861751152073732</v>
      </c>
      <c r="DY24" s="31">
        <v>0.76086956521739135</v>
      </c>
      <c r="DZ24" s="31">
        <v>0.80876494023904377</v>
      </c>
      <c r="EA24" s="31">
        <v>0.8046875</v>
      </c>
      <c r="EB24" s="31">
        <v>0.86434108527131781</v>
      </c>
      <c r="EC24" s="31">
        <v>0.79362101313320821</v>
      </c>
      <c r="ED24" s="31">
        <v>0.81715284198738281</v>
      </c>
      <c r="EE24" s="31">
        <v>0.83799999999999997</v>
      </c>
      <c r="EF24" s="31">
        <v>0.80157170923379173</v>
      </c>
      <c r="EG24" s="31">
        <v>0.77400000000000002</v>
      </c>
      <c r="EH24" s="31">
        <v>0.8</v>
      </c>
      <c r="EI24" s="31">
        <v>0.83199999999999996</v>
      </c>
      <c r="EJ24" s="31">
        <v>0.84890656063618286</v>
      </c>
      <c r="EK24" s="31">
        <v>0.83267716535433067</v>
      </c>
      <c r="EL24" s="31">
        <v>0.8181650621749007</v>
      </c>
    </row>
    <row r="25" spans="2:142" x14ac:dyDescent="0.35">
      <c r="B25" s="20"/>
      <c r="C25" s="20"/>
      <c r="D25" s="20"/>
      <c r="E25" s="20"/>
      <c r="F25" s="20"/>
      <c r="G25" s="20"/>
      <c r="AL25" s="19" t="s">
        <v>80</v>
      </c>
      <c r="AM25" s="31">
        <v>0.96296296296296291</v>
      </c>
      <c r="AN25" s="31">
        <v>0.96846846846846846</v>
      </c>
      <c r="AO25" s="31">
        <v>0.92165898617511521</v>
      </c>
      <c r="AP25" s="31">
        <v>0.94919168591224024</v>
      </c>
      <c r="AQ25" s="31">
        <v>0.96810933940774491</v>
      </c>
      <c r="AR25" s="31">
        <v>0.96888888888888891</v>
      </c>
      <c r="AS25" s="31">
        <v>0.9620535714285714</v>
      </c>
      <c r="AT25" s="31">
        <v>0.95733341474914169</v>
      </c>
      <c r="AU25" s="31">
        <v>0.9385342789598109</v>
      </c>
      <c r="AV25" s="31">
        <v>0.95945945945945943</v>
      </c>
      <c r="AW25" s="31">
        <v>0.94835680751173712</v>
      </c>
      <c r="AX25" s="31">
        <v>0.94988610478359914</v>
      </c>
      <c r="AY25" s="31">
        <v>0.92142857142857137</v>
      </c>
      <c r="AZ25" s="31">
        <v>0.94772727272727275</v>
      </c>
      <c r="BA25" s="31">
        <v>0.90322580645161288</v>
      </c>
      <c r="BB25" s="31">
        <v>0.93837404304600902</v>
      </c>
      <c r="BC25" s="31">
        <v>0.96666666666666667</v>
      </c>
      <c r="BD25" s="31">
        <v>0.96803652968036524</v>
      </c>
      <c r="BE25" s="31">
        <v>0.90398126463700235</v>
      </c>
      <c r="BF25" s="31">
        <v>0.89327146171693739</v>
      </c>
      <c r="BG25" s="31">
        <v>0.94050343249427915</v>
      </c>
      <c r="BH25" s="31">
        <v>0.96803652968036524</v>
      </c>
      <c r="BI25" s="31">
        <v>0.9610983981693364</v>
      </c>
      <c r="BJ25" s="31">
        <v>0.9430848975778503</v>
      </c>
      <c r="BK25" s="31">
        <v>0.75917431192660545</v>
      </c>
      <c r="BL25" s="31">
        <v>0.93160377358490565</v>
      </c>
      <c r="BM25" s="31">
        <v>0.79953917050691248</v>
      </c>
      <c r="BN25" s="31">
        <v>0.85125858123569798</v>
      </c>
      <c r="BO25" s="31">
        <v>0.86270022883295194</v>
      </c>
      <c r="BP25" s="31">
        <v>0.9360730593607306</v>
      </c>
      <c r="BQ25" s="31">
        <v>0.913953488372093</v>
      </c>
      <c r="BR25" s="31">
        <v>0.86490037340284254</v>
      </c>
      <c r="BS25" s="31">
        <v>0.90338164251207731</v>
      </c>
      <c r="BT25" s="31">
        <v>0.89932885906040272</v>
      </c>
      <c r="BU25" s="31">
        <v>0.93258426966292129</v>
      </c>
      <c r="BV25" s="31">
        <v>0.96179775280898872</v>
      </c>
      <c r="BW25" s="31">
        <v>0.93891402714932126</v>
      </c>
      <c r="BX25" s="31">
        <v>0.94808126410835214</v>
      </c>
      <c r="BY25" s="31">
        <v>0.95343680709534373</v>
      </c>
      <c r="BZ25" s="31">
        <v>0.93393208891391544</v>
      </c>
      <c r="CA25" s="31">
        <v>0.94347826086956521</v>
      </c>
      <c r="CB25" s="31">
        <v>0.95896328293736499</v>
      </c>
      <c r="CC25" s="31">
        <v>0.94372294372294374</v>
      </c>
      <c r="CD25" s="31">
        <v>0.91630901287553645</v>
      </c>
      <c r="CE25" s="31">
        <v>0.96153846153846156</v>
      </c>
      <c r="CF25" s="31">
        <v>0.95206971677559915</v>
      </c>
      <c r="CG25" s="31">
        <v>0.95642701525054463</v>
      </c>
      <c r="CH25" s="31">
        <v>0.9475012419957165</v>
      </c>
      <c r="CI25" s="31">
        <v>0.89618644067796616</v>
      </c>
      <c r="CJ25" s="31">
        <v>0.93176972281449888</v>
      </c>
      <c r="CK25" s="31">
        <v>0.9</v>
      </c>
      <c r="CL25" s="31">
        <v>0.89935760171306212</v>
      </c>
      <c r="CM25" s="31">
        <v>0.90021691973969631</v>
      </c>
      <c r="CN25" s="31">
        <v>0.90611353711790388</v>
      </c>
      <c r="CO25" s="31">
        <v>0.91125541125541121</v>
      </c>
      <c r="CP25" s="31">
        <v>0.90641423333121984</v>
      </c>
      <c r="CQ25" s="31">
        <v>0.86324786324786329</v>
      </c>
      <c r="CR25" s="31">
        <v>0.92194092827004215</v>
      </c>
      <c r="CS25" s="31">
        <v>0.88026607538802659</v>
      </c>
      <c r="CT25" s="31">
        <v>0.88444444444444448</v>
      </c>
      <c r="CU25" s="31">
        <v>0.94669509594882728</v>
      </c>
      <c r="CV25" s="31">
        <v>0.92677824267782427</v>
      </c>
      <c r="CW25" s="31">
        <v>0.93205944798301488</v>
      </c>
      <c r="CX25" s="31">
        <v>0.90791887113714886</v>
      </c>
      <c r="CY25" s="31">
        <v>0.86416861826697888</v>
      </c>
      <c r="CZ25" s="31">
        <v>0.88716814159292035</v>
      </c>
      <c r="DA25" s="31">
        <v>0.8564593301435407</v>
      </c>
      <c r="DB25" s="31">
        <v>0.90163934426229508</v>
      </c>
      <c r="DC25" s="31">
        <v>0.9301204819277108</v>
      </c>
      <c r="DD25" s="31">
        <v>0.84355179704016914</v>
      </c>
      <c r="DE25" s="31">
        <v>0.82663847780126853</v>
      </c>
      <c r="DF25" s="31">
        <v>0.87282088443355488</v>
      </c>
      <c r="DG25" s="31">
        <v>0.78336980306345738</v>
      </c>
      <c r="DH25" s="31">
        <v>0.95271867612293148</v>
      </c>
      <c r="DI25" s="31">
        <v>0.7531914893617021</v>
      </c>
      <c r="DJ25" s="31">
        <v>0.828125</v>
      </c>
      <c r="DK25" s="31">
        <v>0.83920704845814975</v>
      </c>
      <c r="DL25" s="31">
        <v>0.94786729857819907</v>
      </c>
      <c r="DM25" s="31">
        <v>0.90995260663507105</v>
      </c>
      <c r="DN25" s="31">
        <v>0.85920456031707293</v>
      </c>
      <c r="DO25" s="31">
        <v>0.75869565217391299</v>
      </c>
      <c r="DP25" s="31">
        <v>0.8459821428571429</v>
      </c>
      <c r="DQ25" s="31">
        <v>0.77728285077950998</v>
      </c>
      <c r="DR25" s="31">
        <v>0.7831858407079646</v>
      </c>
      <c r="DS25" s="31">
        <v>0.78891257995735609</v>
      </c>
      <c r="DT25" s="31">
        <v>0.82483370288248337</v>
      </c>
      <c r="DU25" s="31">
        <v>0.79281183932346722</v>
      </c>
      <c r="DV25" s="31">
        <v>0.7959578012402625</v>
      </c>
      <c r="DW25" s="31">
        <v>0.83449883449883455</v>
      </c>
      <c r="DX25" s="31">
        <v>0.8137472283813747</v>
      </c>
      <c r="DY25" s="31">
        <v>0.893719806763285</v>
      </c>
      <c r="DZ25" s="31">
        <v>0.87112171837708829</v>
      </c>
      <c r="EA25" s="31">
        <v>0.82949308755760365</v>
      </c>
      <c r="EB25" s="31">
        <v>0.87703016241299303</v>
      </c>
      <c r="EC25" s="31">
        <v>0.86651053864168615</v>
      </c>
      <c r="ED25" s="31">
        <v>0.85516019666183773</v>
      </c>
      <c r="EE25" s="31">
        <v>0.83046683046683045</v>
      </c>
      <c r="EF25" s="31">
        <v>0.89903846153846156</v>
      </c>
      <c r="EG25" s="31">
        <v>0.84900990099009899</v>
      </c>
      <c r="EH25" s="31">
        <v>0.88942307692307687</v>
      </c>
      <c r="EI25" s="31">
        <v>0.85037406483790523</v>
      </c>
      <c r="EJ25" s="31">
        <v>0.87058823529411766</v>
      </c>
      <c r="EK25" s="31">
        <v>0.80831408775981528</v>
      </c>
      <c r="EL25" s="31">
        <v>0.85674495111575821</v>
      </c>
    </row>
    <row r="26" spans="2:142" x14ac:dyDescent="0.35">
      <c r="B26" s="20"/>
      <c r="C26" s="20"/>
      <c r="D26" s="20"/>
      <c r="E26" s="20"/>
      <c r="F26" s="20"/>
      <c r="G26" s="20"/>
      <c r="AL26" s="19" t="s">
        <v>81</v>
      </c>
      <c r="AM26" s="31">
        <v>0.74914089347079038</v>
      </c>
      <c r="AN26" s="31">
        <v>0.73672055427251737</v>
      </c>
      <c r="AO26" s="31">
        <v>0.82603550295857986</v>
      </c>
      <c r="AP26" s="31">
        <v>0.75059382422802845</v>
      </c>
      <c r="AQ26" s="31">
        <v>0.75691244239631339</v>
      </c>
      <c r="AR26" s="31">
        <v>0.77726218097447797</v>
      </c>
      <c r="AS26" s="31">
        <v>0.78555045871559637</v>
      </c>
      <c r="AT26" s="31">
        <v>0.76888797957375765</v>
      </c>
      <c r="AU26" s="31">
        <v>0.84248210023866343</v>
      </c>
      <c r="AV26" s="31">
        <v>0.78063010501750296</v>
      </c>
      <c r="AW26" s="31">
        <v>0.80519480519480524</v>
      </c>
      <c r="AX26" s="31">
        <v>0.73058823529411765</v>
      </c>
      <c r="AY26" s="31">
        <v>0.80539273153575619</v>
      </c>
      <c r="AZ26" s="31">
        <v>0.82284382284382285</v>
      </c>
      <c r="BA26" s="31">
        <v>0.82983682983682983</v>
      </c>
      <c r="BB26" s="31">
        <v>0.80242408999449955</v>
      </c>
      <c r="BC26" s="31">
        <v>0.86255924170616116</v>
      </c>
      <c r="BD26" s="31">
        <v>0.75764705882352945</v>
      </c>
      <c r="BE26" s="31">
        <v>0.84643288996372434</v>
      </c>
      <c r="BF26" s="31">
        <v>0.76387249114521838</v>
      </c>
      <c r="BG26" s="31">
        <v>0.85144927536231885</v>
      </c>
      <c r="BH26" s="31">
        <v>0.8259833134684148</v>
      </c>
      <c r="BI26" s="31">
        <v>0.81362007168458783</v>
      </c>
      <c r="BJ26" s="31">
        <v>0.81736633459342201</v>
      </c>
      <c r="BK26" s="31">
        <v>0.7198124267291911</v>
      </c>
      <c r="BL26" s="31">
        <v>0.75653206650831351</v>
      </c>
      <c r="BM26" s="31">
        <v>0.59554513481828841</v>
      </c>
      <c r="BN26" s="31">
        <v>0.62837045720984763</v>
      </c>
      <c r="BO26" s="31">
        <v>0.78998778998778996</v>
      </c>
      <c r="BP26" s="31">
        <v>0.82151300236406621</v>
      </c>
      <c r="BQ26" s="31">
        <v>0.84166666666666667</v>
      </c>
      <c r="BR26" s="31">
        <v>0.73620393489773761</v>
      </c>
      <c r="BS26" s="31">
        <v>0.75114678899082565</v>
      </c>
      <c r="BT26" s="31">
        <v>0.6799531066822978</v>
      </c>
      <c r="BU26" s="31">
        <v>0.72235294117647064</v>
      </c>
      <c r="BV26" s="31">
        <v>0.71903669724770647</v>
      </c>
      <c r="BW26" s="31">
        <v>0.8</v>
      </c>
      <c r="BX26" s="31">
        <v>0.76337693222354341</v>
      </c>
      <c r="BY26" s="31">
        <v>0.80522565320665085</v>
      </c>
      <c r="BZ26" s="31">
        <v>0.74872744564678495</v>
      </c>
      <c r="CA26" s="31">
        <v>0.7930232558139535</v>
      </c>
      <c r="CB26" s="31">
        <v>0.77182770663562283</v>
      </c>
      <c r="CC26" s="31">
        <v>0.80258519388954175</v>
      </c>
      <c r="CD26" s="31">
        <v>0.73764705882352943</v>
      </c>
      <c r="CE26" s="31">
        <v>0.82030338389731627</v>
      </c>
      <c r="CF26" s="31">
        <v>0.83886255924170616</v>
      </c>
      <c r="CG26" s="31">
        <v>0.83663943990665113</v>
      </c>
      <c r="CH26" s="31">
        <v>0.80012694260118877</v>
      </c>
      <c r="CI26" s="31">
        <v>0.76825028968713793</v>
      </c>
      <c r="CJ26" s="31">
        <v>0.75235849056603776</v>
      </c>
      <c r="CK26" s="31">
        <v>0.73263888888888884</v>
      </c>
      <c r="CL26" s="31">
        <v>0.73156682027649766</v>
      </c>
      <c r="CM26" s="31">
        <v>0.81081081081081086</v>
      </c>
      <c r="CN26" s="31">
        <v>0.74971428571428567</v>
      </c>
      <c r="CO26" s="31">
        <v>0.79743888242142025</v>
      </c>
      <c r="CP26" s="31">
        <v>0.76325406690929698</v>
      </c>
      <c r="CQ26" s="31">
        <v>0.78504672897196259</v>
      </c>
      <c r="CR26" s="31">
        <v>0.72</v>
      </c>
      <c r="CS26" s="31">
        <v>0.78194607268464245</v>
      </c>
      <c r="CT26" s="31">
        <v>0.75146541617819462</v>
      </c>
      <c r="CU26" s="31">
        <v>0.77934272300469487</v>
      </c>
      <c r="CV26" s="31">
        <v>0.79720279720279719</v>
      </c>
      <c r="CW26" s="31">
        <v>0.81743227326266199</v>
      </c>
      <c r="CX26" s="31">
        <v>0.77606228732927918</v>
      </c>
      <c r="CY26" s="31">
        <v>0.77522935779816515</v>
      </c>
      <c r="CZ26" s="31">
        <v>0.77256740914419697</v>
      </c>
      <c r="DA26" s="31">
        <v>0.78341013824884798</v>
      </c>
      <c r="DB26" s="31">
        <v>0.76544622425629294</v>
      </c>
      <c r="DC26" s="31">
        <v>0.77894736842105261</v>
      </c>
      <c r="DD26" s="31">
        <v>0.81198589894242068</v>
      </c>
      <c r="DE26" s="31">
        <v>0.83293269230769229</v>
      </c>
      <c r="DF26" s="31">
        <v>0.78864558415980979</v>
      </c>
      <c r="DG26" s="31">
        <v>0.80813953488372092</v>
      </c>
      <c r="DH26" s="31">
        <v>0.76674364896073899</v>
      </c>
      <c r="DI26" s="31">
        <v>0.76553341148886289</v>
      </c>
      <c r="DJ26" s="31">
        <v>0.7369020501138952</v>
      </c>
      <c r="DK26" s="31">
        <v>0.81722933643771822</v>
      </c>
      <c r="DL26" s="31">
        <v>0.83023255813953489</v>
      </c>
      <c r="DM26" s="31">
        <v>0.85493460166468493</v>
      </c>
      <c r="DN26" s="31">
        <v>0.79710216309845094</v>
      </c>
      <c r="DO26" s="31">
        <v>0.729490022172949</v>
      </c>
      <c r="DP26" s="31">
        <v>0.73410404624277459</v>
      </c>
      <c r="DQ26" s="31">
        <v>0.73888888888888893</v>
      </c>
      <c r="DR26" s="31">
        <v>0.70386740331491715</v>
      </c>
      <c r="DS26" s="31">
        <v>0.80481927710843371</v>
      </c>
      <c r="DT26" s="31">
        <v>0.77648428405122238</v>
      </c>
      <c r="DU26" s="31">
        <v>0.80239520958083832</v>
      </c>
      <c r="DV26" s="31">
        <v>0.75572130448000352</v>
      </c>
      <c r="DW26" s="31">
        <v>0.7765237020316027</v>
      </c>
      <c r="DX26" s="31">
        <v>0.69767441860465118</v>
      </c>
      <c r="DY26" s="31">
        <v>0.75788288288288286</v>
      </c>
      <c r="DZ26" s="31">
        <v>0.71106094808126408</v>
      </c>
      <c r="EA26" s="31">
        <v>0.78103837471783299</v>
      </c>
      <c r="EB26" s="31">
        <v>0.77324263038548757</v>
      </c>
      <c r="EC26" s="31">
        <v>0.78378378378378377</v>
      </c>
      <c r="ED26" s="31">
        <v>0.75445810578392936</v>
      </c>
      <c r="EE26" s="31">
        <v>0.82866741321388582</v>
      </c>
      <c r="EF26" s="31">
        <v>0.74145785876993164</v>
      </c>
      <c r="EG26" s="31">
        <v>0.78483835005574132</v>
      </c>
      <c r="EH26" s="31">
        <v>0.70699223085460594</v>
      </c>
      <c r="EI26" s="31">
        <v>0.80558659217877093</v>
      </c>
      <c r="EJ26" s="31">
        <v>0.7956867196367764</v>
      </c>
      <c r="EK26" s="31">
        <v>0.79795686719636771</v>
      </c>
      <c r="EL26" s="31">
        <v>0.78016943312943987</v>
      </c>
    </row>
    <row r="27" spans="2:142" x14ac:dyDescent="0.35">
      <c r="B27" s="20"/>
      <c r="C27" s="20"/>
      <c r="D27" s="20"/>
      <c r="E27" s="20"/>
      <c r="F27" s="20"/>
      <c r="G27" s="20"/>
      <c r="AL27" s="19" t="s">
        <v>82</v>
      </c>
      <c r="AM27" s="31">
        <v>0.96721311475409832</v>
      </c>
      <c r="AN27" s="31">
        <v>0.95271867612293148</v>
      </c>
      <c r="AO27" s="31">
        <v>0.98360655737704916</v>
      </c>
      <c r="AP27" s="31">
        <v>0.95873786407766992</v>
      </c>
      <c r="AQ27" s="31">
        <v>0.99043062200956933</v>
      </c>
      <c r="AR27" s="31">
        <v>0.95571095571095566</v>
      </c>
      <c r="AS27" s="31">
        <v>0.96721311475409832</v>
      </c>
      <c r="AT27" s="31">
        <v>0.96794727211519593</v>
      </c>
      <c r="AU27" s="31">
        <v>0.95681818181818179</v>
      </c>
      <c r="AV27" s="31">
        <v>0.96926713947990539</v>
      </c>
      <c r="AW27" s="31">
        <v>0.97272727272727277</v>
      </c>
      <c r="AX27" s="31">
        <v>0.95927601809954754</v>
      </c>
      <c r="AY27" s="31">
        <v>0.93650793650793651</v>
      </c>
      <c r="AZ27" s="31">
        <v>0.95270270270270274</v>
      </c>
      <c r="BA27" s="31">
        <v>0.94369369369369371</v>
      </c>
      <c r="BB27" s="31">
        <v>0.95585613500417721</v>
      </c>
      <c r="BC27" s="31">
        <v>0.97555555555555551</v>
      </c>
      <c r="BD27" s="31">
        <v>0.98654708520179368</v>
      </c>
      <c r="BE27" s="31">
        <v>0.94772727272727275</v>
      </c>
      <c r="BF27" s="31">
        <v>0.95161290322580649</v>
      </c>
      <c r="BG27" s="31">
        <v>0.94022988505747129</v>
      </c>
      <c r="BH27" s="31">
        <v>0.98390804597701154</v>
      </c>
      <c r="BI27" s="31">
        <v>0.92808988764044942</v>
      </c>
      <c r="BJ27" s="31">
        <v>0.95909580505505154</v>
      </c>
      <c r="BK27" s="31">
        <v>0.92056074766355145</v>
      </c>
      <c r="BL27" s="31">
        <v>0.99109131403118045</v>
      </c>
      <c r="BM27" s="31">
        <v>0.97317073170731705</v>
      </c>
      <c r="BN27" s="31">
        <v>0.98284313725490191</v>
      </c>
      <c r="BO27" s="31">
        <v>0.92957746478873238</v>
      </c>
      <c r="BP27" s="31">
        <v>0.97566371681415931</v>
      </c>
      <c r="BQ27" s="31">
        <v>0.95852534562211977</v>
      </c>
      <c r="BR27" s="31">
        <v>0.96163320826885168</v>
      </c>
      <c r="BS27" s="31">
        <v>0.9753363228699552</v>
      </c>
      <c r="BT27" s="31">
        <v>0.97658079625292737</v>
      </c>
      <c r="BU27" s="31">
        <v>0.97111111111111115</v>
      </c>
      <c r="BV27" s="31">
        <v>0.99319727891156462</v>
      </c>
      <c r="BW27" s="31">
        <v>0.96839729119638829</v>
      </c>
      <c r="BX27" s="31">
        <v>0.99767441860465111</v>
      </c>
      <c r="BY27" s="31">
        <v>0.99534883720930234</v>
      </c>
      <c r="BZ27" s="31">
        <v>0.9825208651651286</v>
      </c>
      <c r="CA27" s="31">
        <v>0.95927601809954754</v>
      </c>
      <c r="CB27" s="31">
        <v>0.99771167048054921</v>
      </c>
      <c r="CC27" s="31">
        <v>0.96118721461187218</v>
      </c>
      <c r="CD27" s="31">
        <v>0.96153846153846156</v>
      </c>
      <c r="CE27" s="31">
        <v>0.95652173913043481</v>
      </c>
      <c r="CF27" s="31">
        <v>0.97396963123644253</v>
      </c>
      <c r="CG27" s="31">
        <v>0.95957446808510638</v>
      </c>
      <c r="CH27" s="31">
        <v>0.96711131474034484</v>
      </c>
      <c r="CI27" s="31">
        <v>0.9620535714285714</v>
      </c>
      <c r="CJ27" s="31">
        <v>0.96506550218340614</v>
      </c>
      <c r="CK27" s="31">
        <v>0.90384615384615385</v>
      </c>
      <c r="CL27" s="31">
        <v>0.97539149888143173</v>
      </c>
      <c r="CM27" s="31">
        <v>0.96875</v>
      </c>
      <c r="CN27" s="31">
        <v>0.95936794582392781</v>
      </c>
      <c r="CO27" s="31">
        <v>0.97285067873303166</v>
      </c>
      <c r="CP27" s="31">
        <v>0.95818933584236032</v>
      </c>
      <c r="CQ27" s="31">
        <v>0.9821428571428571</v>
      </c>
      <c r="CR27" s="31">
        <v>0.95878524945770061</v>
      </c>
      <c r="CS27" s="31">
        <v>0.9174107142857143</v>
      </c>
      <c r="CT27" s="31">
        <v>0.9151785714285714</v>
      </c>
      <c r="CU27" s="31">
        <v>0.97555555555555551</v>
      </c>
      <c r="CV27" s="31">
        <v>0.97777777777777775</v>
      </c>
      <c r="CW27" s="31">
        <v>0.9753363228699552</v>
      </c>
      <c r="CX27" s="31">
        <v>0.95745529264544749</v>
      </c>
      <c r="CY27" s="31">
        <v>0.98185941043083902</v>
      </c>
      <c r="CZ27" s="31">
        <v>0.95833333333333337</v>
      </c>
      <c r="DA27" s="31">
        <v>0.93033707865168536</v>
      </c>
      <c r="DB27" s="31">
        <v>0.97266514806378135</v>
      </c>
      <c r="DC27" s="31">
        <v>0.96017699115044253</v>
      </c>
      <c r="DD27" s="31">
        <v>0.98008849557522126</v>
      </c>
      <c r="DE27" s="31">
        <v>0.953125</v>
      </c>
      <c r="DF27" s="31">
        <v>0.96236935102932897</v>
      </c>
      <c r="DG27" s="31">
        <v>0.90293453724604966</v>
      </c>
      <c r="DH27" s="31">
        <v>0.98177676537585423</v>
      </c>
      <c r="DI27" s="31">
        <v>0.8571428571428571</v>
      </c>
      <c r="DJ27" s="31">
        <v>0.9375</v>
      </c>
      <c r="DK27" s="31">
        <v>0.92938496583143504</v>
      </c>
      <c r="DL27" s="31">
        <v>0.99088838268792712</v>
      </c>
      <c r="DM27" s="31">
        <v>0.97038724373576313</v>
      </c>
      <c r="DN27" s="31">
        <v>0.93857353600284099</v>
      </c>
      <c r="DO27" s="31">
        <v>0.9223529411764706</v>
      </c>
      <c r="DP27" s="31">
        <v>0.97209302325581393</v>
      </c>
      <c r="DQ27" s="31">
        <v>0.94376528117359415</v>
      </c>
      <c r="DR27" s="31">
        <v>0.96875</v>
      </c>
      <c r="DS27" s="31">
        <v>0.94431554524361949</v>
      </c>
      <c r="DT27" s="31">
        <v>0.95899772209567202</v>
      </c>
      <c r="DU27" s="31">
        <v>0.96355353075170846</v>
      </c>
      <c r="DV27" s="31">
        <v>0.95340400624241128</v>
      </c>
      <c r="DW27" s="31">
        <v>0.96355353075170846</v>
      </c>
      <c r="DX27" s="31">
        <v>0.9264367816091954</v>
      </c>
      <c r="DY27" s="31">
        <v>0.93793103448275861</v>
      </c>
      <c r="DZ27" s="31">
        <v>0.97471264367816091</v>
      </c>
      <c r="EA27" s="31">
        <v>0.94252873563218387</v>
      </c>
      <c r="EB27" s="31">
        <v>0.97471264367816091</v>
      </c>
      <c r="EC27" s="31">
        <v>0.98611111111111116</v>
      </c>
      <c r="ED27" s="31">
        <v>0.95799806870618276</v>
      </c>
      <c r="EE27" s="31">
        <v>0.93166287015945326</v>
      </c>
      <c r="EF27" s="31">
        <v>0.96810933940774491</v>
      </c>
      <c r="EG27" s="31">
        <v>0.88610478359908884</v>
      </c>
      <c r="EH27" s="31">
        <v>0.88382687927107062</v>
      </c>
      <c r="EI27" s="31">
        <v>0.94077448747152614</v>
      </c>
      <c r="EJ27" s="31">
        <v>0.97038724373576313</v>
      </c>
      <c r="EK27" s="31">
        <v>0.9567198177676538</v>
      </c>
      <c r="EL27" s="31">
        <v>0.93394077448747148</v>
      </c>
    </row>
    <row r="28" spans="2:142" x14ac:dyDescent="0.35">
      <c r="B28" s="20"/>
      <c r="C28" s="20"/>
      <c r="D28" s="20"/>
      <c r="E28" s="20"/>
      <c r="F28" s="20"/>
      <c r="G28" s="20"/>
      <c r="AL28" s="19" t="s">
        <v>83</v>
      </c>
      <c r="AM28" s="31">
        <v>0.90368852459016391</v>
      </c>
      <c r="AN28" s="31">
        <v>0.88541666666666663</v>
      </c>
      <c r="AO28" s="31">
        <v>0.86236559139784941</v>
      </c>
      <c r="AP28" s="31">
        <v>0.87526427061310785</v>
      </c>
      <c r="AQ28" s="31">
        <v>0.88818565400843885</v>
      </c>
      <c r="AR28" s="31">
        <v>0.90534979423868311</v>
      </c>
      <c r="AS28" s="31">
        <v>0.88541666666666663</v>
      </c>
      <c r="AT28" s="31">
        <v>0.88652673831165363</v>
      </c>
      <c r="AU28" s="31">
        <v>0.93587174348697399</v>
      </c>
      <c r="AV28" s="31">
        <v>0.89561586638830892</v>
      </c>
      <c r="AW28" s="31">
        <v>0.9161425576519916</v>
      </c>
      <c r="AX28" s="31">
        <v>0.89026915113871641</v>
      </c>
      <c r="AY28" s="31">
        <v>0.93625498007968122</v>
      </c>
      <c r="AZ28" s="31">
        <v>0.92616033755274263</v>
      </c>
      <c r="BA28" s="31">
        <v>0.91991786447638602</v>
      </c>
      <c r="BB28" s="31">
        <v>0.91717607153925729</v>
      </c>
      <c r="BC28" s="31">
        <v>0.91497975708502022</v>
      </c>
      <c r="BD28" s="31">
        <v>0.89322381930184802</v>
      </c>
      <c r="BE28" s="31">
        <v>0.89812889812889818</v>
      </c>
      <c r="BF28" s="31">
        <v>0.87295081967213117</v>
      </c>
      <c r="BG28" s="31">
        <v>0.91615541922290389</v>
      </c>
      <c r="BH28" s="31">
        <v>0.93103448275862066</v>
      </c>
      <c r="BI28" s="31">
        <v>0.91869918699186992</v>
      </c>
      <c r="BJ28" s="31">
        <v>0.90645319759447041</v>
      </c>
      <c r="BK28" s="31">
        <v>0.82881002087682676</v>
      </c>
      <c r="BL28" s="31">
        <v>0.89690721649484539</v>
      </c>
      <c r="BM28" s="31">
        <v>0.85623678646934465</v>
      </c>
      <c r="BN28" s="31">
        <v>0.88501026694045171</v>
      </c>
      <c r="BO28" s="31">
        <v>0.90436590436590436</v>
      </c>
      <c r="BP28" s="31">
        <v>0.92213114754098358</v>
      </c>
      <c r="BQ28" s="31">
        <v>0.93561368209255535</v>
      </c>
      <c r="BR28" s="31">
        <v>0.8898678606829874</v>
      </c>
      <c r="BS28" s="31">
        <v>0.85828343313373257</v>
      </c>
      <c r="BT28" s="31">
        <v>0.9065040650406504</v>
      </c>
      <c r="BU28" s="31">
        <v>0.89575289575289574</v>
      </c>
      <c r="BV28" s="31">
        <v>0.90909090909090906</v>
      </c>
      <c r="BW28" s="31">
        <v>0.89566929133858264</v>
      </c>
      <c r="BX28" s="31">
        <v>0.90715667311411996</v>
      </c>
      <c r="BY28" s="31">
        <v>0.9061302681992337</v>
      </c>
      <c r="BZ28" s="31">
        <v>0.89694107652430344</v>
      </c>
      <c r="CA28" s="31">
        <v>0.93516699410609039</v>
      </c>
      <c r="CB28" s="31">
        <v>0.90925925925925921</v>
      </c>
      <c r="CC28" s="31">
        <v>0.92430278884462147</v>
      </c>
      <c r="CD28" s="31">
        <v>0.91446028513238287</v>
      </c>
      <c r="CE28" s="31">
        <v>0.94219653179190754</v>
      </c>
      <c r="CF28" s="31">
        <v>0.91320754716981134</v>
      </c>
      <c r="CG28" s="31">
        <v>0.91541353383458646</v>
      </c>
      <c r="CH28" s="31">
        <v>0.92200099144837988</v>
      </c>
      <c r="CI28" s="31">
        <v>0.88667992047713717</v>
      </c>
      <c r="CJ28" s="31">
        <v>0.9247524752475248</v>
      </c>
      <c r="CK28" s="31">
        <v>0.86947791164658639</v>
      </c>
      <c r="CL28" s="31">
        <v>0.89134808853118708</v>
      </c>
      <c r="CM28" s="31">
        <v>0.90040650406504064</v>
      </c>
      <c r="CN28" s="31">
        <v>0.9083665338645418</v>
      </c>
      <c r="CO28" s="31">
        <v>0.88979591836734695</v>
      </c>
      <c r="CP28" s="31">
        <v>0.89583247888562345</v>
      </c>
      <c r="CQ28" s="31">
        <v>0.917004048582996</v>
      </c>
      <c r="CR28" s="31">
        <v>0.8875502008032129</v>
      </c>
      <c r="CS28" s="31">
        <v>0.89068825910931171</v>
      </c>
      <c r="CT28" s="31">
        <v>0.90160642570281124</v>
      </c>
      <c r="CU28" s="31">
        <v>0.91111111111111109</v>
      </c>
      <c r="CV28" s="31">
        <v>0.93650793650793651</v>
      </c>
      <c r="CW28" s="31">
        <v>0.9178356713426854</v>
      </c>
      <c r="CX28" s="31">
        <v>0.90890052188000936</v>
      </c>
      <c r="CY28" s="31">
        <v>0.85656565656565653</v>
      </c>
      <c r="CZ28" s="31">
        <v>0.94047619047619047</v>
      </c>
      <c r="DA28" s="31">
        <v>0.83507306889352817</v>
      </c>
      <c r="DB28" s="31">
        <v>0.86008230452674894</v>
      </c>
      <c r="DC28" s="31">
        <v>0.84146341463414631</v>
      </c>
      <c r="DD28" s="31">
        <v>0.93293885601577908</v>
      </c>
      <c r="DE28" s="31">
        <v>0.87096774193548387</v>
      </c>
      <c r="DF28" s="31">
        <v>0.87679531900679053</v>
      </c>
      <c r="DG28" s="31">
        <v>0.89669421487603307</v>
      </c>
      <c r="DH28" s="31">
        <v>0.91134020618556699</v>
      </c>
      <c r="DI28" s="31">
        <v>0.85531914893617023</v>
      </c>
      <c r="DJ28" s="31">
        <v>0.85256410256410253</v>
      </c>
      <c r="DK28" s="31">
        <v>0.90103092783505156</v>
      </c>
      <c r="DL28" s="31">
        <v>0.91752577319587625</v>
      </c>
      <c r="DM28" s="31">
        <v>0.89690721649484539</v>
      </c>
      <c r="DN28" s="31">
        <v>0.89019737001252075</v>
      </c>
      <c r="DO28" s="31">
        <v>0.79871520342612423</v>
      </c>
      <c r="DP28" s="31">
        <v>0.8966244725738397</v>
      </c>
      <c r="DQ28" s="31">
        <v>0.8161925601750547</v>
      </c>
      <c r="DR28" s="31">
        <v>0.85176991150442483</v>
      </c>
      <c r="DS28" s="31">
        <v>0.84582441113490359</v>
      </c>
      <c r="DT28" s="31">
        <v>0.89852008456659616</v>
      </c>
      <c r="DU28" s="31">
        <v>0.87580299785867233</v>
      </c>
      <c r="DV28" s="31">
        <v>0.85477852017708789</v>
      </c>
      <c r="DW28" s="31">
        <v>0.92592592592592593</v>
      </c>
      <c r="DX28" s="31">
        <v>0.89587852494577003</v>
      </c>
      <c r="DY28" s="31">
        <v>0.89496717724288843</v>
      </c>
      <c r="DZ28" s="31">
        <v>0.89473684210526316</v>
      </c>
      <c r="EA28" s="31">
        <v>0.92494481236203085</v>
      </c>
      <c r="EB28" s="31">
        <v>0.89699570815450647</v>
      </c>
      <c r="EC28" s="31">
        <v>0.92391304347826086</v>
      </c>
      <c r="ED28" s="31">
        <v>0.9081945763163779</v>
      </c>
      <c r="EE28" s="31">
        <v>0.90044247787610621</v>
      </c>
      <c r="EF28" s="31">
        <v>0.93562231759656656</v>
      </c>
      <c r="EG28" s="31">
        <v>0.85426008968609868</v>
      </c>
      <c r="EH28" s="31">
        <v>0.84017278617710578</v>
      </c>
      <c r="EI28" s="31">
        <v>0.90528634361233484</v>
      </c>
      <c r="EJ28" s="31">
        <v>0.94218415417558887</v>
      </c>
      <c r="EK28" s="31">
        <v>0.95329087048832273</v>
      </c>
      <c r="EL28" s="31">
        <v>0.90446557708744613</v>
      </c>
    </row>
    <row r="29" spans="2:142" x14ac:dyDescent="0.35">
      <c r="B29" s="20"/>
      <c r="C29" s="20"/>
      <c r="D29" s="20"/>
      <c r="E29" s="20"/>
      <c r="F29" s="20"/>
      <c r="G29" s="20"/>
      <c r="AL29" s="19" t="s">
        <v>84</v>
      </c>
      <c r="AM29" s="31">
        <v>0.88734567901234573</v>
      </c>
      <c r="AN29" s="31">
        <v>0.94444444444444442</v>
      </c>
      <c r="AO29" s="31">
        <v>0.91203703703703709</v>
      </c>
      <c r="AP29" s="31">
        <v>0.93672839506172845</v>
      </c>
      <c r="AQ29" s="31">
        <v>0.9320987654320988</v>
      </c>
      <c r="AR29" s="31">
        <v>0.91512345679012341</v>
      </c>
      <c r="AS29" s="31">
        <v>0.9429012345679012</v>
      </c>
      <c r="AT29" s="31">
        <v>0.92438271604938271</v>
      </c>
      <c r="AU29" s="31">
        <v>0.96546546546546541</v>
      </c>
      <c r="AV29" s="31">
        <v>0.9320987654320988</v>
      </c>
      <c r="AW29" s="31">
        <v>0.94594594594594594</v>
      </c>
      <c r="AX29" s="31">
        <v>0.95795795795795791</v>
      </c>
      <c r="AY29" s="31">
        <v>0.92792792792792789</v>
      </c>
      <c r="AZ29" s="31">
        <v>0.95370370370370372</v>
      </c>
      <c r="BA29" s="31">
        <v>0.95795795795795791</v>
      </c>
      <c r="BB29" s="31">
        <v>0.94872253205586532</v>
      </c>
      <c r="BC29" s="31">
        <v>0.93993993993993996</v>
      </c>
      <c r="BD29" s="31">
        <v>0.92042042042042038</v>
      </c>
      <c r="BE29" s="31">
        <v>0.94594594594594594</v>
      </c>
      <c r="BF29" s="31">
        <v>0.93693693693693691</v>
      </c>
      <c r="BG29" s="31">
        <v>0.93393393393393398</v>
      </c>
      <c r="BH29" s="31">
        <v>0.94594594594594594</v>
      </c>
      <c r="BI29" s="31">
        <v>0.93393393393393398</v>
      </c>
      <c r="BJ29" s="31">
        <v>0.93672243672243671</v>
      </c>
      <c r="BK29" s="31">
        <v>0.84534534534534533</v>
      </c>
      <c r="BL29" s="31">
        <v>0.94744744744744747</v>
      </c>
      <c r="BM29" s="31">
        <v>0.86786786786786785</v>
      </c>
      <c r="BN29" s="31">
        <v>0.90390390390390385</v>
      </c>
      <c r="BO29" s="31">
        <v>0.89039039039039036</v>
      </c>
      <c r="BP29" s="31">
        <v>0.92342342342342343</v>
      </c>
      <c r="BQ29" s="31">
        <v>0.88738738738738743</v>
      </c>
      <c r="BR29" s="31">
        <v>0.89510939510939502</v>
      </c>
      <c r="BS29" s="31">
        <v>0.89189189189189189</v>
      </c>
      <c r="BT29" s="31">
        <v>0.95345345345345345</v>
      </c>
      <c r="BU29" s="31">
        <v>0.9069069069069069</v>
      </c>
      <c r="BV29" s="31">
        <v>0.91891891891891897</v>
      </c>
      <c r="BW29" s="31">
        <v>0.90990990990990994</v>
      </c>
      <c r="BX29" s="31">
        <v>0.94977843426883313</v>
      </c>
      <c r="BY29" s="31">
        <v>0.9241071428571429</v>
      </c>
      <c r="BZ29" s="31">
        <v>0.92213809402957969</v>
      </c>
      <c r="CA29" s="31">
        <v>0.92492492492492495</v>
      </c>
      <c r="CB29" s="31">
        <v>0.90240240240240244</v>
      </c>
      <c r="CC29" s="31">
        <v>0.93093093093093093</v>
      </c>
      <c r="CD29" s="31">
        <v>0.92042042042042038</v>
      </c>
      <c r="CE29" s="31">
        <v>0.93543543543543539</v>
      </c>
      <c r="CF29" s="31">
        <v>0.90090090090090091</v>
      </c>
      <c r="CG29" s="31">
        <v>0.87537537537537535</v>
      </c>
      <c r="CH29" s="31">
        <v>0.91291291291291288</v>
      </c>
      <c r="CI29" s="31">
        <v>0.88288288288288286</v>
      </c>
      <c r="CJ29" s="31">
        <v>0.90990990990990994</v>
      </c>
      <c r="CK29" s="31">
        <v>0.87237237237237242</v>
      </c>
      <c r="CL29" s="31">
        <v>0.91291291291291288</v>
      </c>
      <c r="CM29" s="31">
        <v>0.87387387387387383</v>
      </c>
      <c r="CN29" s="31">
        <v>0.87387387387387383</v>
      </c>
      <c r="CO29" s="31">
        <v>0.84384384384384381</v>
      </c>
      <c r="CP29" s="31">
        <v>0.88138138138138145</v>
      </c>
      <c r="CQ29" s="31">
        <v>0.88438438438438438</v>
      </c>
      <c r="CR29" s="31">
        <v>0.92492492492492495</v>
      </c>
      <c r="CS29" s="31">
        <v>0.89489489489489493</v>
      </c>
      <c r="CT29" s="31">
        <v>0.88288288288288286</v>
      </c>
      <c r="CU29" s="31">
        <v>0.88738738738738743</v>
      </c>
      <c r="CV29" s="31">
        <v>0.89639639639639634</v>
      </c>
      <c r="CW29" s="31">
        <v>0.86336336336336339</v>
      </c>
      <c r="CX29" s="31">
        <v>0.89060489060489068</v>
      </c>
      <c r="CY29" s="31">
        <v>0.89189189189189189</v>
      </c>
      <c r="CZ29" s="31">
        <v>0.92792792792792789</v>
      </c>
      <c r="DA29" s="31">
        <v>0.89939939939939939</v>
      </c>
      <c r="DB29" s="31">
        <v>0.88438438438438438</v>
      </c>
      <c r="DC29" s="31">
        <v>0.91141141141141147</v>
      </c>
      <c r="DD29" s="31">
        <v>0.92042042042042038</v>
      </c>
      <c r="DE29" s="31">
        <v>0.9144144144144144</v>
      </c>
      <c r="DF29" s="31">
        <v>0.9071214071214071</v>
      </c>
      <c r="DG29" s="31">
        <v>0.92735703245749612</v>
      </c>
      <c r="DH29" s="31">
        <v>0.9069069069069069</v>
      </c>
      <c r="DI29" s="31">
        <v>0.89026275115919629</v>
      </c>
      <c r="DJ29" s="31">
        <v>0.94899536321483768</v>
      </c>
      <c r="DK29" s="31">
        <v>0.94899536321483768</v>
      </c>
      <c r="DL29" s="31">
        <v>0.88562596599690879</v>
      </c>
      <c r="DM29" s="31">
        <v>0.93044822256568782</v>
      </c>
      <c r="DN29" s="31">
        <v>0.9197988007879816</v>
      </c>
      <c r="DO29" s="31">
        <v>0.90417310664605877</v>
      </c>
      <c r="DP29" s="31">
        <v>0.85780525502318394</v>
      </c>
      <c r="DQ29" s="31">
        <v>0.87789799072642971</v>
      </c>
      <c r="DR29" s="31">
        <v>0.87944358578052551</v>
      </c>
      <c r="DS29" s="31">
        <v>0.89799072642967548</v>
      </c>
      <c r="DT29" s="31">
        <v>0.9459041731066461</v>
      </c>
      <c r="DU29" s="31">
        <v>0.91344667697063364</v>
      </c>
      <c r="DV29" s="31">
        <v>0.896665930669022</v>
      </c>
      <c r="DW29" s="31">
        <v>0.91653786707882534</v>
      </c>
      <c r="DX29" s="31">
        <v>0.83153013910355489</v>
      </c>
      <c r="DY29" s="31">
        <v>0.89953632148377127</v>
      </c>
      <c r="DZ29" s="31">
        <v>0.90726429675425035</v>
      </c>
      <c r="EA29" s="31">
        <v>0.93353941267387941</v>
      </c>
      <c r="EB29" s="31">
        <v>0.88871715610510049</v>
      </c>
      <c r="EC29" s="31">
        <v>0.92117465224111283</v>
      </c>
      <c r="ED29" s="31">
        <v>0.89975712077721348</v>
      </c>
      <c r="EE29" s="31">
        <v>0.8238021638330757</v>
      </c>
      <c r="EF29" s="31">
        <v>0.92890262751159192</v>
      </c>
      <c r="EG29" s="31">
        <v>0.90726429675425035</v>
      </c>
      <c r="EH29" s="31">
        <v>0.92272024729520863</v>
      </c>
      <c r="EI29" s="31">
        <v>0.91653786707882534</v>
      </c>
      <c r="EJ29" s="31">
        <v>0.92890262751159192</v>
      </c>
      <c r="EK29" s="31">
        <v>0.90726429675425035</v>
      </c>
      <c r="EL29" s="31">
        <v>0.90505630381982771</v>
      </c>
    </row>
    <row r="30" spans="2:142" x14ac:dyDescent="0.35">
      <c r="B30" s="20"/>
      <c r="C30" s="20"/>
      <c r="D30" s="20"/>
      <c r="E30" s="20"/>
      <c r="F30" s="20"/>
      <c r="G30" s="20"/>
      <c r="AL30" s="19" t="s">
        <v>85</v>
      </c>
      <c r="AM30" s="31">
        <v>0.91134751773049649</v>
      </c>
      <c r="AN30" s="31">
        <v>0.88043478260869568</v>
      </c>
      <c r="AO30" s="31">
        <v>0.93238434163701067</v>
      </c>
      <c r="AP30" s="31">
        <v>0.85865724381625441</v>
      </c>
      <c r="AQ30" s="31">
        <v>0.89530685920577613</v>
      </c>
      <c r="AR30" s="31">
        <v>0.84837545126353786</v>
      </c>
      <c r="AS30" s="31">
        <v>0.93571428571428572</v>
      </c>
      <c r="AT30" s="31">
        <v>0.89460292599657965</v>
      </c>
      <c r="AU30" s="31">
        <v>0.92932862190812726</v>
      </c>
      <c r="AV30" s="31">
        <v>0.87323943661971826</v>
      </c>
      <c r="AW30" s="31">
        <v>0.93617021276595747</v>
      </c>
      <c r="AX30" s="31">
        <v>0.90714285714285714</v>
      </c>
      <c r="AY30" s="31">
        <v>0.90459363957597172</v>
      </c>
      <c r="AZ30" s="31">
        <v>0.93661971830985913</v>
      </c>
      <c r="BA30" s="31">
        <v>0.91872791519434627</v>
      </c>
      <c r="BB30" s="31">
        <v>0.91511748593097686</v>
      </c>
      <c r="BC30" s="31">
        <v>0.87003610108303253</v>
      </c>
      <c r="BD30" s="31">
        <v>0.94285714285714284</v>
      </c>
      <c r="BE30" s="31">
        <v>0.87003610108303253</v>
      </c>
      <c r="BF30" s="31">
        <v>0.85869565217391308</v>
      </c>
      <c r="BG30" s="31">
        <v>0.93214285714285716</v>
      </c>
      <c r="BH30" s="31">
        <v>0.95</v>
      </c>
      <c r="BI30" s="31">
        <v>0.92567567567567566</v>
      </c>
      <c r="BJ30" s="31">
        <v>0.90706336143080768</v>
      </c>
      <c r="BK30" s="31">
        <v>0.7407407407407407</v>
      </c>
      <c r="BL30" s="31">
        <v>0.86594202898550721</v>
      </c>
      <c r="BM30" s="31">
        <v>0.81040892193308545</v>
      </c>
      <c r="BN30" s="31">
        <v>0.79779411764705888</v>
      </c>
      <c r="BO30" s="31">
        <v>0.88929889298892983</v>
      </c>
      <c r="BP30" s="31">
        <v>0.86594202898550721</v>
      </c>
      <c r="BQ30" s="31">
        <v>0.89010989010989006</v>
      </c>
      <c r="BR30" s="31">
        <v>0.83717666019867409</v>
      </c>
      <c r="BS30" s="31">
        <v>0.94881889763779526</v>
      </c>
      <c r="BT30" s="31">
        <v>0.84210526315789469</v>
      </c>
      <c r="BU30" s="31">
        <v>0.88976377952755903</v>
      </c>
      <c r="BV30" s="31">
        <v>0.92537313432835822</v>
      </c>
      <c r="BW30" s="31">
        <v>0.91221374045801529</v>
      </c>
      <c r="BX30" s="31">
        <v>0.88602941176470584</v>
      </c>
      <c r="BY30" s="31">
        <v>0.95925925925925926</v>
      </c>
      <c r="BZ30" s="31">
        <v>0.90908049801908408</v>
      </c>
      <c r="CA30" s="31">
        <v>0.89679715302491103</v>
      </c>
      <c r="CB30" s="31">
        <v>0.95220588235294112</v>
      </c>
      <c r="CC30" s="31">
        <v>0.87813620071684584</v>
      </c>
      <c r="CD30" s="31">
        <v>0.84532374100719421</v>
      </c>
      <c r="CE30" s="31">
        <v>0.93006993006993011</v>
      </c>
      <c r="CF30" s="31">
        <v>0.93684210526315792</v>
      </c>
      <c r="CG30" s="31">
        <v>0.93684210526315792</v>
      </c>
      <c r="CH30" s="31">
        <v>0.91088815967116255</v>
      </c>
      <c r="CI30" s="31">
        <v>0.87152777777777779</v>
      </c>
      <c r="CJ30" s="31">
        <v>0.92391304347826086</v>
      </c>
      <c r="CK30" s="31">
        <v>0.81818181818181823</v>
      </c>
      <c r="CL30" s="31">
        <v>0.81468531468531469</v>
      </c>
      <c r="CM30" s="31">
        <v>0.8601398601398601</v>
      </c>
      <c r="CN30" s="31">
        <v>0.92957746478873238</v>
      </c>
      <c r="CO30" s="31">
        <v>0.93548387096774188</v>
      </c>
      <c r="CP30" s="31">
        <v>0.87907273571707234</v>
      </c>
      <c r="CQ30" s="31">
        <v>0.80419580419580416</v>
      </c>
      <c r="CR30" s="31">
        <v>0.8098591549295775</v>
      </c>
      <c r="CS30" s="31">
        <v>0.78873239436619713</v>
      </c>
      <c r="CT30" s="31">
        <v>0.77112676056338025</v>
      </c>
      <c r="CU30" s="31">
        <v>0.78671328671328666</v>
      </c>
      <c r="CV30" s="31">
        <v>0.81118881118881114</v>
      </c>
      <c r="CW30" s="31">
        <v>0.78397212543554007</v>
      </c>
      <c r="CX30" s="31">
        <v>0.79368404819894245</v>
      </c>
      <c r="CY30" s="31">
        <v>0.743859649122807</v>
      </c>
      <c r="CZ30" s="31">
        <v>0.83274021352313166</v>
      </c>
      <c r="DA30" s="31">
        <v>0.75886524822695034</v>
      </c>
      <c r="DB30" s="31">
        <v>0.78169014084507038</v>
      </c>
      <c r="DC30" s="31">
        <v>0.75432525951557095</v>
      </c>
      <c r="DD30" s="31">
        <v>0.86896551724137927</v>
      </c>
      <c r="DE30" s="31">
        <v>0.80350877192982462</v>
      </c>
      <c r="DF30" s="31">
        <v>0.79199354291496193</v>
      </c>
      <c r="DG30" s="31">
        <v>0.86315789473684212</v>
      </c>
      <c r="DH30" s="31">
        <v>0.83333333333333337</v>
      </c>
      <c r="DI30" s="31">
        <v>0.82269503546099287</v>
      </c>
      <c r="DJ30" s="31">
        <v>0.81914893617021278</v>
      </c>
      <c r="DK30" s="31">
        <v>0.82167832167832167</v>
      </c>
      <c r="DL30" s="31">
        <v>0.82332155477031799</v>
      </c>
      <c r="DM30" s="31">
        <v>0.8776223776223776</v>
      </c>
      <c r="DN30" s="31">
        <v>0.83727963625319979</v>
      </c>
      <c r="DO30" s="31">
        <v>0.82926829268292679</v>
      </c>
      <c r="DP30" s="31">
        <v>0.84210526315789469</v>
      </c>
      <c r="DQ30" s="31">
        <v>0.7909407665505227</v>
      </c>
      <c r="DR30" s="31">
        <v>0.76306620209059228</v>
      </c>
      <c r="DS30" s="31">
        <v>0.83275261324041816</v>
      </c>
      <c r="DT30" s="31">
        <v>0.90877192982456145</v>
      </c>
      <c r="DU30" s="31">
        <v>0.85664335664335667</v>
      </c>
      <c r="DV30" s="31">
        <v>0.83193548917003901</v>
      </c>
      <c r="DW30" s="31">
        <v>0.87108013937282225</v>
      </c>
      <c r="DX30" s="31">
        <v>0.81338028169014087</v>
      </c>
      <c r="DY30" s="31">
        <v>0.89160839160839156</v>
      </c>
      <c r="DZ30" s="31">
        <v>0.8571428571428571</v>
      </c>
      <c r="EA30" s="31">
        <v>0.8571428571428571</v>
      </c>
      <c r="EB30" s="31">
        <v>0.86363636363636365</v>
      </c>
      <c r="EC30" s="31">
        <v>0.90243902439024393</v>
      </c>
      <c r="ED30" s="31">
        <v>0.86520427356909668</v>
      </c>
      <c r="EE30" s="31">
        <v>0.82456140350877194</v>
      </c>
      <c r="EF30" s="31">
        <v>0.89160839160839156</v>
      </c>
      <c r="EG30" s="31">
        <v>0.80350877192982462</v>
      </c>
      <c r="EH30" s="31">
        <v>0.84210526315789469</v>
      </c>
      <c r="EI30" s="31">
        <v>0.87108013937282225</v>
      </c>
      <c r="EJ30" s="31">
        <v>0.88461538461538458</v>
      </c>
      <c r="EK30" s="31">
        <v>0.87108013937282225</v>
      </c>
      <c r="EL30" s="31">
        <v>0.85550849908084459</v>
      </c>
    </row>
    <row r="31" spans="2:142" x14ac:dyDescent="0.35">
      <c r="B31" s="20"/>
      <c r="C31" s="20"/>
      <c r="D31" s="20"/>
      <c r="E31" s="20"/>
      <c r="F31" s="20"/>
      <c r="G31" s="20"/>
      <c r="AL31" s="19" t="s">
        <v>86</v>
      </c>
      <c r="AM31" s="31">
        <v>0.86466165413533835</v>
      </c>
      <c r="AN31" s="31">
        <v>0.87593984962406013</v>
      </c>
      <c r="AO31" s="31">
        <v>0.86842105263157898</v>
      </c>
      <c r="AP31" s="31">
        <v>0.88345864661654139</v>
      </c>
      <c r="AQ31" s="31">
        <v>0.90601503759398494</v>
      </c>
      <c r="AR31" s="31">
        <v>0.86842105263157898</v>
      </c>
      <c r="AS31" s="31">
        <v>0.90789473684210531</v>
      </c>
      <c r="AT31" s="31">
        <v>0.88211600429645554</v>
      </c>
      <c r="AU31" s="31">
        <v>0.85902255639097747</v>
      </c>
      <c r="AV31" s="31">
        <v>0.87406015037593987</v>
      </c>
      <c r="AW31" s="31">
        <v>0.84774436090225569</v>
      </c>
      <c r="AX31" s="31">
        <v>0.86090225563909772</v>
      </c>
      <c r="AY31" s="31">
        <v>0.88345864661654139</v>
      </c>
      <c r="AZ31" s="31">
        <v>0.87593984962406013</v>
      </c>
      <c r="BA31" s="31">
        <v>0.87593984962406013</v>
      </c>
      <c r="BB31" s="31">
        <v>0.86815252416756183</v>
      </c>
      <c r="BC31" s="31">
        <v>0.83458646616541354</v>
      </c>
      <c r="BD31" s="31">
        <v>0.87030075187969924</v>
      </c>
      <c r="BE31" s="31">
        <v>0.81578947368421051</v>
      </c>
      <c r="BF31" s="31">
        <v>0.7857142857142857</v>
      </c>
      <c r="BG31" s="31">
        <v>0.82330827067669177</v>
      </c>
      <c r="BH31" s="31">
        <v>0.88721804511278191</v>
      </c>
      <c r="BI31" s="31">
        <v>0.85338345864661658</v>
      </c>
      <c r="BJ31" s="31">
        <v>0.83861439312567132</v>
      </c>
      <c r="BK31" s="31">
        <v>0.66729323308270672</v>
      </c>
      <c r="BL31" s="31">
        <v>0.81766917293233088</v>
      </c>
      <c r="BM31" s="31">
        <v>0.68233082706766912</v>
      </c>
      <c r="BN31" s="31">
        <v>0.71804511278195493</v>
      </c>
      <c r="BO31" s="31">
        <v>0.7142857142857143</v>
      </c>
      <c r="BP31" s="31">
        <v>0.79135338345864659</v>
      </c>
      <c r="BQ31" s="31">
        <v>0.75187969924812026</v>
      </c>
      <c r="BR31" s="31">
        <v>0.73469387755102034</v>
      </c>
      <c r="BS31" s="31">
        <v>0.82706766917293228</v>
      </c>
      <c r="BT31" s="31">
        <v>0.76127819548872178</v>
      </c>
      <c r="BU31" s="31">
        <v>0.86466165413533835</v>
      </c>
      <c r="BV31" s="31">
        <v>0.84962406015037595</v>
      </c>
      <c r="BW31" s="31">
        <v>0.89473684210526316</v>
      </c>
      <c r="BX31" s="31">
        <v>0.82330827067669177</v>
      </c>
      <c r="BY31" s="31">
        <v>0.84962406015037595</v>
      </c>
      <c r="BZ31" s="31">
        <v>0.83861439312567132</v>
      </c>
      <c r="CA31" s="31">
        <v>0.88157894736842102</v>
      </c>
      <c r="CB31" s="31">
        <v>0.88533834586466165</v>
      </c>
      <c r="CC31" s="31">
        <v>0.86654135338345861</v>
      </c>
      <c r="CD31" s="31">
        <v>0.80827067669172936</v>
      </c>
      <c r="CE31" s="31">
        <v>0.8778195488721805</v>
      </c>
      <c r="CF31" s="31">
        <v>0.95112781954887216</v>
      </c>
      <c r="CG31" s="31">
        <v>0.91729323308270672</v>
      </c>
      <c r="CH31" s="31">
        <v>0.88399570354457568</v>
      </c>
      <c r="CI31" s="31">
        <v>0.85338345864661658</v>
      </c>
      <c r="CJ31" s="31">
        <v>0.86090225563909772</v>
      </c>
      <c r="CK31" s="31">
        <v>0.8226415094339623</v>
      </c>
      <c r="CL31" s="31">
        <v>0.84905660377358494</v>
      </c>
      <c r="CM31" s="31">
        <v>0.85338345864661658</v>
      </c>
      <c r="CN31" s="31">
        <v>0.86654135338345861</v>
      </c>
      <c r="CO31" s="31">
        <v>0.85338345864661658</v>
      </c>
      <c r="CP31" s="31">
        <v>0.8513274425957077</v>
      </c>
      <c r="CQ31" s="31">
        <v>0.83834586466165417</v>
      </c>
      <c r="CR31" s="31">
        <v>0.84774436090225569</v>
      </c>
      <c r="CS31" s="31">
        <v>0.84586466165413532</v>
      </c>
      <c r="CT31" s="31">
        <v>0.8778195488721805</v>
      </c>
      <c r="CU31" s="31">
        <v>0.84586466165413532</v>
      </c>
      <c r="CV31" s="31">
        <v>0.8571428571428571</v>
      </c>
      <c r="CW31" s="31">
        <v>0.83082706766917291</v>
      </c>
      <c r="CX31" s="31">
        <v>0.84908700322234154</v>
      </c>
      <c r="CY31" s="31">
        <v>0.82330827067669177</v>
      </c>
      <c r="CZ31" s="31">
        <v>0.88157894736842102</v>
      </c>
      <c r="DA31" s="31">
        <v>0.81203007518796988</v>
      </c>
      <c r="DB31" s="31">
        <v>0.81954887218045114</v>
      </c>
      <c r="DC31" s="31">
        <v>0.83458646616541354</v>
      </c>
      <c r="DD31" s="31">
        <v>0.88721804511278191</v>
      </c>
      <c r="DE31" s="31">
        <v>0.87969924812030076</v>
      </c>
      <c r="DF31" s="31">
        <v>0.8482814178302901</v>
      </c>
      <c r="DG31" s="31">
        <v>0.84962406015037595</v>
      </c>
      <c r="DH31" s="31">
        <v>0.8214285714285714</v>
      </c>
      <c r="DI31" s="31">
        <v>0.83458646616541354</v>
      </c>
      <c r="DJ31" s="31">
        <v>0.84586466165413532</v>
      </c>
      <c r="DK31" s="31">
        <v>0.89473684210526316</v>
      </c>
      <c r="DL31" s="31">
        <v>0.85338345864661658</v>
      </c>
      <c r="DM31" s="31">
        <v>0.88345864661654139</v>
      </c>
      <c r="DN31" s="31">
        <v>0.85472610096670254</v>
      </c>
      <c r="DO31" s="31">
        <v>0.81578947368421051</v>
      </c>
      <c r="DP31" s="31">
        <v>0.85150375939849621</v>
      </c>
      <c r="DQ31" s="31">
        <v>0.81203007518796988</v>
      </c>
      <c r="DR31" s="31">
        <v>0.81390977443609025</v>
      </c>
      <c r="DS31" s="31">
        <v>0.83458646616541354</v>
      </c>
      <c r="DT31" s="31">
        <v>0.83834586466165417</v>
      </c>
      <c r="DU31" s="31">
        <v>0.78195488721804507</v>
      </c>
      <c r="DV31" s="31">
        <v>0.82116004296455436</v>
      </c>
      <c r="DW31" s="31">
        <v>0.78007518796992481</v>
      </c>
      <c r="DX31" s="31">
        <v>0.80827067669172936</v>
      </c>
      <c r="DY31" s="31">
        <v>0.76691729323308266</v>
      </c>
      <c r="DZ31" s="31">
        <v>0.80827067669172936</v>
      </c>
      <c r="EA31" s="31">
        <v>0.81954887218045114</v>
      </c>
      <c r="EB31" s="31">
        <v>0.83834586466165417</v>
      </c>
      <c r="EC31" s="31">
        <v>0.86278195488721809</v>
      </c>
      <c r="ED31" s="31">
        <v>0.81203007518796999</v>
      </c>
      <c r="EE31" s="31">
        <v>0.86466165413533835</v>
      </c>
      <c r="EF31" s="31">
        <v>0.84774436090225569</v>
      </c>
      <c r="EG31" s="31">
        <v>0.81766917293233088</v>
      </c>
      <c r="EH31" s="31">
        <v>0.82518796992481203</v>
      </c>
      <c r="EI31" s="31">
        <v>0.8778195488721805</v>
      </c>
      <c r="EJ31" s="31">
        <v>0.87030075187969924</v>
      </c>
      <c r="EK31" s="31">
        <v>0.87969924812030076</v>
      </c>
      <c r="EL31" s="31">
        <v>0.85472610096670265</v>
      </c>
    </row>
    <row r="32" spans="2:142" x14ac:dyDescent="0.35">
      <c r="B32" s="20"/>
      <c r="C32" s="20"/>
      <c r="D32" s="20"/>
      <c r="E32" s="20"/>
      <c r="F32" s="20"/>
      <c r="G32" s="20"/>
      <c r="AL32" s="19" t="s">
        <v>87</v>
      </c>
      <c r="AM32" s="31">
        <v>0.97756410256410253</v>
      </c>
      <c r="AN32" s="31">
        <v>0.92163009404388718</v>
      </c>
      <c r="AO32" s="31">
        <v>0.97350993377483441</v>
      </c>
      <c r="AP32" s="31">
        <v>0.94426229508196724</v>
      </c>
      <c r="AQ32" s="31">
        <v>0.95681063122923593</v>
      </c>
      <c r="AR32" s="31">
        <v>0.95833333333333337</v>
      </c>
      <c r="AS32" s="31">
        <v>0.97</v>
      </c>
      <c r="AT32" s="31">
        <v>0.95744434143248003</v>
      </c>
      <c r="AU32" s="31">
        <v>0.92258064516129035</v>
      </c>
      <c r="AV32" s="31">
        <v>0.99025974025974028</v>
      </c>
      <c r="AW32" s="31">
        <v>0.94333333333333336</v>
      </c>
      <c r="AX32" s="31">
        <v>0.94370860927152322</v>
      </c>
      <c r="AY32" s="31">
        <v>0.88811188811188813</v>
      </c>
      <c r="AZ32" s="31">
        <v>0.98442367601246106</v>
      </c>
      <c r="BA32" s="31">
        <v>0.84640522875816993</v>
      </c>
      <c r="BB32" s="31">
        <v>0.93126044584405798</v>
      </c>
      <c r="BC32" s="31">
        <v>0.86468646864686471</v>
      </c>
      <c r="BD32" s="31">
        <v>0.85099337748344372</v>
      </c>
      <c r="BE32" s="31">
        <v>0.93006993006993011</v>
      </c>
      <c r="BF32" s="31">
        <v>0.92517006802721091</v>
      </c>
      <c r="BG32" s="31">
        <v>0.81418918918918914</v>
      </c>
      <c r="BH32" s="31">
        <v>0.93559322033898307</v>
      </c>
      <c r="BI32" s="31">
        <v>0.96416938110749184</v>
      </c>
      <c r="BJ32" s="31">
        <v>0.89783880498044488</v>
      </c>
      <c r="BK32" s="31">
        <v>0.70588235294117652</v>
      </c>
      <c r="BL32" s="31">
        <v>0.95501730103806226</v>
      </c>
      <c r="BM32" s="31">
        <v>0.90721649484536082</v>
      </c>
      <c r="BN32" s="31">
        <v>0.94501718213058417</v>
      </c>
      <c r="BO32" s="31">
        <v>0.93150684931506844</v>
      </c>
      <c r="BP32" s="31">
        <v>0.89084507042253525</v>
      </c>
      <c r="BQ32" s="31">
        <v>0.87197231833910038</v>
      </c>
      <c r="BR32" s="31">
        <v>0.88677965271884129</v>
      </c>
      <c r="BS32" s="31">
        <v>0.93046357615894038</v>
      </c>
      <c r="BT32" s="31">
        <v>0.9553264604810997</v>
      </c>
      <c r="BU32" s="31">
        <v>0.94719471947194722</v>
      </c>
      <c r="BV32" s="31">
        <v>0.95932203389830506</v>
      </c>
      <c r="BW32" s="31">
        <v>0.93548387096774188</v>
      </c>
      <c r="BX32" s="31">
        <v>0.90235690235690236</v>
      </c>
      <c r="BY32" s="31">
        <v>0.83809523809523812</v>
      </c>
      <c r="BZ32" s="31">
        <v>0.92403468591859639</v>
      </c>
      <c r="CA32" s="31">
        <v>0.89597315436241609</v>
      </c>
      <c r="CB32" s="31">
        <v>0.95</v>
      </c>
      <c r="CC32" s="31">
        <v>0.97818181818181815</v>
      </c>
      <c r="CD32" s="31">
        <v>0.96727272727272728</v>
      </c>
      <c r="CE32" s="31">
        <v>0.94525547445255476</v>
      </c>
      <c r="CF32" s="31">
        <v>0.94809688581314877</v>
      </c>
      <c r="CG32" s="31">
        <v>0.94035087719298249</v>
      </c>
      <c r="CH32" s="31">
        <v>0.94644727675366391</v>
      </c>
      <c r="CI32" s="31">
        <v>0.90429042904290424</v>
      </c>
      <c r="CJ32" s="31">
        <v>0.95744680851063835</v>
      </c>
      <c r="CK32" s="31">
        <v>0.73442622950819669</v>
      </c>
      <c r="CL32" s="31">
        <v>0.8975265017667845</v>
      </c>
      <c r="CM32" s="31">
        <v>0.92691029900332222</v>
      </c>
      <c r="CN32" s="31">
        <v>0.95986622073578598</v>
      </c>
      <c r="CO32" s="31">
        <v>0.95167286245353155</v>
      </c>
      <c r="CP32" s="31">
        <v>0.90459133586016616</v>
      </c>
      <c r="CQ32" s="31">
        <v>0.96057347670250892</v>
      </c>
      <c r="CR32" s="31">
        <v>0.89818181818181819</v>
      </c>
      <c r="CS32" s="31">
        <v>0.94945848375451258</v>
      </c>
      <c r="CT32" s="31">
        <v>0.76143790849673199</v>
      </c>
      <c r="CU32" s="31">
        <v>0.92542372881355928</v>
      </c>
      <c r="CV32" s="31">
        <v>0.88395904436860073</v>
      </c>
      <c r="CW32" s="31">
        <v>0.91156462585034015</v>
      </c>
      <c r="CX32" s="31">
        <v>0.8986570123097245</v>
      </c>
      <c r="CY32" s="31">
        <v>0.95522388059701491</v>
      </c>
      <c r="CZ32" s="31">
        <v>0.94845360824742264</v>
      </c>
      <c r="DA32" s="31">
        <v>0.87588652482269502</v>
      </c>
      <c r="DB32" s="31">
        <v>0.94852941176470584</v>
      </c>
      <c r="DC32" s="31">
        <v>0.92936802973977695</v>
      </c>
      <c r="DD32" s="31">
        <v>0.94405594405594406</v>
      </c>
      <c r="DE32" s="31">
        <v>0.96478873239436624</v>
      </c>
      <c r="DF32" s="31">
        <v>0.93804373308884659</v>
      </c>
      <c r="DG32" s="31">
        <v>0.92953020134228193</v>
      </c>
      <c r="DH32" s="31">
        <v>0.94982078853046592</v>
      </c>
      <c r="DI32" s="31">
        <v>0.93189964157706096</v>
      </c>
      <c r="DJ32" s="31">
        <v>0.84083044982698962</v>
      </c>
      <c r="DK32" s="31">
        <v>0.91891891891891897</v>
      </c>
      <c r="DL32" s="31">
        <v>0.99644128113879005</v>
      </c>
      <c r="DM32" s="31">
        <v>0.95104895104895104</v>
      </c>
      <c r="DN32" s="31">
        <v>0.93121289034049415</v>
      </c>
      <c r="DO32" s="31">
        <v>0.91610738255033553</v>
      </c>
      <c r="DP32" s="31">
        <v>0.88813559322033897</v>
      </c>
      <c r="DQ32" s="31">
        <v>0.69624573378839594</v>
      </c>
      <c r="DR32" s="31">
        <v>0.79421221864951763</v>
      </c>
      <c r="DS32" s="31">
        <v>0.92358803986710969</v>
      </c>
      <c r="DT32" s="31">
        <v>0.90068493150684936</v>
      </c>
      <c r="DU32" s="31">
        <v>0.90491803278688521</v>
      </c>
      <c r="DV32" s="31">
        <v>0.8605559903384904</v>
      </c>
      <c r="DW32" s="31">
        <v>0.91384615384615386</v>
      </c>
      <c r="DX32" s="31">
        <v>0.89028213166144199</v>
      </c>
      <c r="DY32" s="31">
        <v>0.86392405063291144</v>
      </c>
      <c r="DZ32" s="31">
        <v>0.90095846645367417</v>
      </c>
      <c r="EA32" s="31">
        <v>0.90277777777777779</v>
      </c>
      <c r="EB32" s="31">
        <v>0.90822784810126578</v>
      </c>
      <c r="EC32" s="31">
        <v>0.90443686006825941</v>
      </c>
      <c r="ED32" s="31">
        <v>0.89777904122021202</v>
      </c>
      <c r="EE32" s="31">
        <v>0.88102893890675238</v>
      </c>
      <c r="EF32" s="31">
        <v>0.94155844155844159</v>
      </c>
      <c r="EG32" s="31">
        <v>0.74402730375426618</v>
      </c>
      <c r="EH32" s="31">
        <v>0.83508771929824566</v>
      </c>
      <c r="EI32" s="31">
        <v>0.94076655052264813</v>
      </c>
      <c r="EJ32" s="31">
        <v>0.93729372937293731</v>
      </c>
      <c r="EK32" s="31">
        <v>0.92358803986710969</v>
      </c>
      <c r="EL32" s="31">
        <v>0.88619296046862872</v>
      </c>
    </row>
    <row r="33" spans="2:142" x14ac:dyDescent="0.35">
      <c r="B33" s="20"/>
      <c r="C33" s="20"/>
      <c r="D33" s="20"/>
      <c r="E33" s="20"/>
      <c r="F33" s="20"/>
      <c r="G33" s="20"/>
      <c r="AL33" s="19" t="s">
        <v>88</v>
      </c>
      <c r="AM33" s="31">
        <v>0.89294117647058824</v>
      </c>
      <c r="AN33" s="31">
        <v>0.91791044776119401</v>
      </c>
      <c r="AO33" s="31">
        <v>0.95018679950186802</v>
      </c>
      <c r="AP33" s="31">
        <v>0.90203106332138594</v>
      </c>
      <c r="AQ33" s="31">
        <v>0.91067285382830632</v>
      </c>
      <c r="AR33" s="31">
        <v>0.86470588235294121</v>
      </c>
      <c r="AS33" s="31">
        <v>0.89548693586698336</v>
      </c>
      <c r="AT33" s="31">
        <v>0.9048478798718953</v>
      </c>
      <c r="AU33" s="31">
        <v>0.81623449830890638</v>
      </c>
      <c r="AV33" s="31">
        <v>0.90754257907542579</v>
      </c>
      <c r="AW33" s="31">
        <v>0.82326111744583808</v>
      </c>
      <c r="AX33" s="31">
        <v>0.84313725490196079</v>
      </c>
      <c r="AY33" s="31">
        <v>0.80383314543404738</v>
      </c>
      <c r="AZ33" s="31">
        <v>0.86022727272727273</v>
      </c>
      <c r="BA33" s="31">
        <v>0.84782608695652173</v>
      </c>
      <c r="BB33" s="31">
        <v>0.84315170783571036</v>
      </c>
      <c r="BC33" s="31">
        <v>0.84949832775919731</v>
      </c>
      <c r="BD33" s="31">
        <v>0.83502824858757063</v>
      </c>
      <c r="BE33" s="31">
        <v>0.84572697003329633</v>
      </c>
      <c r="BF33" s="31">
        <v>0.8458149779735683</v>
      </c>
      <c r="BG33" s="31">
        <v>0.86285714285714288</v>
      </c>
      <c r="BH33" s="31">
        <v>0.85180995475113119</v>
      </c>
      <c r="BI33" s="31">
        <v>0.85795454545454541</v>
      </c>
      <c r="BJ33" s="31">
        <v>0.84981288105949315</v>
      </c>
      <c r="BK33" s="31">
        <v>0.84726867335562983</v>
      </c>
      <c r="BL33" s="31">
        <v>0.84424379232505642</v>
      </c>
      <c r="BM33" s="31">
        <v>0.80179171332586785</v>
      </c>
      <c r="BN33" s="31">
        <v>0.82666666666666666</v>
      </c>
      <c r="BO33" s="31">
        <v>0.85458612975391501</v>
      </c>
      <c r="BP33" s="31">
        <v>0.86440677966101698</v>
      </c>
      <c r="BQ33" s="31">
        <v>0.8616071428571429</v>
      </c>
      <c r="BR33" s="31">
        <v>0.84293869970647073</v>
      </c>
      <c r="BS33" s="31">
        <v>0.86913849509269359</v>
      </c>
      <c r="BT33" s="31">
        <v>0.81599123767798465</v>
      </c>
      <c r="BU33" s="31">
        <v>0.8728070175438597</v>
      </c>
      <c r="BV33" s="31">
        <v>0.87337662337662336</v>
      </c>
      <c r="BW33" s="31">
        <v>0.84806034482758619</v>
      </c>
      <c r="BX33" s="31">
        <v>0.85124864277958745</v>
      </c>
      <c r="BY33" s="31">
        <v>0.83067092651757191</v>
      </c>
      <c r="BZ33" s="31">
        <v>0.8516133268308439</v>
      </c>
      <c r="CA33" s="31">
        <v>0.85288065843621397</v>
      </c>
      <c r="CB33" s="31">
        <v>0.8724324324324324</v>
      </c>
      <c r="CC33" s="31">
        <v>0.85909568874868558</v>
      </c>
      <c r="CD33" s="31">
        <v>0.87072649572649574</v>
      </c>
      <c r="CE33" s="31">
        <v>0.87619047619047619</v>
      </c>
      <c r="CF33" s="31">
        <v>0.87995824634655528</v>
      </c>
      <c r="CG33" s="31">
        <v>0.85281837160751561</v>
      </c>
      <c r="CH33" s="31">
        <v>0.86630033849833932</v>
      </c>
      <c r="CI33" s="31">
        <v>0.87763713080168781</v>
      </c>
      <c r="CJ33" s="31">
        <v>0.8585005279831045</v>
      </c>
      <c r="CK33" s="31">
        <v>0.88198103266596417</v>
      </c>
      <c r="CL33" s="31">
        <v>0.86046511627906974</v>
      </c>
      <c r="CM33" s="31">
        <v>0.86800422386483633</v>
      </c>
      <c r="CN33" s="31">
        <v>0.88167539267015704</v>
      </c>
      <c r="CO33" s="31">
        <v>0.88185654008438819</v>
      </c>
      <c r="CP33" s="31">
        <v>0.87287428062131533</v>
      </c>
      <c r="CQ33" s="31">
        <v>0.86975242195909586</v>
      </c>
      <c r="CR33" s="31">
        <v>0.84171907756813413</v>
      </c>
      <c r="CS33" s="31">
        <v>0.87432286023835315</v>
      </c>
      <c r="CT33" s="31">
        <v>0.86162162162162159</v>
      </c>
      <c r="CU33" s="31">
        <v>0.89398907103825132</v>
      </c>
      <c r="CV33" s="31">
        <v>0.85970464135021096</v>
      </c>
      <c r="CW33" s="31">
        <v>0.84311632870864461</v>
      </c>
      <c r="CX33" s="31">
        <v>0.86346086035490177</v>
      </c>
      <c r="CY33" s="31">
        <v>0.86492374727668841</v>
      </c>
      <c r="CZ33" s="31">
        <v>0.85698808234019497</v>
      </c>
      <c r="DA33" s="31">
        <v>0.85403050108932466</v>
      </c>
      <c r="DB33" s="31">
        <v>0.84210526315789469</v>
      </c>
      <c r="DC33" s="31">
        <v>0.85256410256410253</v>
      </c>
      <c r="DD33" s="31">
        <v>0.84378320935175344</v>
      </c>
      <c r="DE33" s="31">
        <v>0.86081370449678796</v>
      </c>
      <c r="DF33" s="31">
        <v>0.85360123003953525</v>
      </c>
      <c r="DG33" s="31">
        <v>0.84962406015037595</v>
      </c>
      <c r="DH33" s="31">
        <v>0.86344086021505373</v>
      </c>
      <c r="DI33" s="31">
        <v>0.85683530678148545</v>
      </c>
      <c r="DJ33" s="31">
        <v>0.83188720173535791</v>
      </c>
      <c r="DK33" s="31">
        <v>0.8646055437100213</v>
      </c>
      <c r="DL33" s="31">
        <v>0.8463180362860192</v>
      </c>
      <c r="DM33" s="31">
        <v>0.84812834224598932</v>
      </c>
      <c r="DN33" s="31">
        <v>0.85154847873204331</v>
      </c>
      <c r="DO33" s="31">
        <v>0.80790340285400664</v>
      </c>
      <c r="DP33" s="31">
        <v>0.82270270270270274</v>
      </c>
      <c r="DQ33" s="31">
        <v>0.78918322295805743</v>
      </c>
      <c r="DR33" s="31">
        <v>0.80680570801317231</v>
      </c>
      <c r="DS33" s="31">
        <v>0.81441048034934493</v>
      </c>
      <c r="DT33" s="31">
        <v>0.84130434782608698</v>
      </c>
      <c r="DU33" s="31">
        <v>0.81558726673984627</v>
      </c>
      <c r="DV33" s="31">
        <v>0.81398530449188822</v>
      </c>
      <c r="DW33" s="31">
        <v>0.85853131749460043</v>
      </c>
      <c r="DX33" s="31">
        <v>0.83480176211453749</v>
      </c>
      <c r="DY33" s="31">
        <v>0.87037037037037035</v>
      </c>
      <c r="DZ33" s="31">
        <v>0.85258525852585254</v>
      </c>
      <c r="EA33" s="31">
        <v>0.83874458874458879</v>
      </c>
      <c r="EB33" s="31">
        <v>0.83078602620087338</v>
      </c>
      <c r="EC33" s="31">
        <v>0.82599355531686358</v>
      </c>
      <c r="ED33" s="31">
        <v>0.84454469696681234</v>
      </c>
      <c r="EE33" s="31">
        <v>0.87526205450733752</v>
      </c>
      <c r="EF33" s="31">
        <v>0.85</v>
      </c>
      <c r="EG33" s="31">
        <v>0.86554621848739499</v>
      </c>
      <c r="EH33" s="31">
        <v>0.82627118644067798</v>
      </c>
      <c r="EI33" s="31">
        <v>0.86173633440514474</v>
      </c>
      <c r="EJ33" s="31">
        <v>0.86601307189542487</v>
      </c>
      <c r="EK33" s="31">
        <v>0.85483870967741937</v>
      </c>
      <c r="EL33" s="31">
        <v>0.85709536791619989</v>
      </c>
    </row>
    <row r="34" spans="2:142" x14ac:dyDescent="0.35">
      <c r="B34" s="20"/>
      <c r="C34" s="20"/>
      <c r="D34" s="20"/>
      <c r="E34" s="20"/>
      <c r="F34" s="20"/>
      <c r="G34" s="20"/>
      <c r="AL34" s="19" t="s">
        <v>89</v>
      </c>
      <c r="AM34" s="31">
        <v>0.91392405063291138</v>
      </c>
      <c r="AN34" s="31">
        <v>0.90989847715736039</v>
      </c>
      <c r="AO34" s="31">
        <v>0.9039900249376559</v>
      </c>
      <c r="AP34" s="31">
        <v>0.87124999999999997</v>
      </c>
      <c r="AQ34" s="31">
        <v>0.92025316455696204</v>
      </c>
      <c r="AR34" s="31">
        <v>0.91337579617834397</v>
      </c>
      <c r="AS34" s="31">
        <v>0.93103448275862066</v>
      </c>
      <c r="AT34" s="31">
        <v>0.90910371374597909</v>
      </c>
      <c r="AU34" s="31">
        <v>0.86</v>
      </c>
      <c r="AV34" s="31">
        <v>0.87468671679197996</v>
      </c>
      <c r="AW34" s="31">
        <v>0.88624999999999998</v>
      </c>
      <c r="AX34" s="31">
        <v>0.88500000000000001</v>
      </c>
      <c r="AY34" s="31">
        <v>0.88723667905824044</v>
      </c>
      <c r="AZ34" s="31">
        <v>0.89598997493734334</v>
      </c>
      <c r="BA34" s="31">
        <v>0.89663760896637612</v>
      </c>
      <c r="BB34" s="31">
        <v>0.8836858542505629</v>
      </c>
      <c r="BC34" s="31">
        <v>0.92337662337662341</v>
      </c>
      <c r="BD34" s="31">
        <v>0.89785624211853721</v>
      </c>
      <c r="BE34" s="31">
        <v>0.87421383647798745</v>
      </c>
      <c r="BF34" s="31">
        <v>0.87421383647798745</v>
      </c>
      <c r="BG34" s="31">
        <v>0.93540051679586567</v>
      </c>
      <c r="BH34" s="31">
        <v>0.93181818181818177</v>
      </c>
      <c r="BI34" s="31">
        <v>0.9249363867684478</v>
      </c>
      <c r="BJ34" s="31">
        <v>0.9088308034048046</v>
      </c>
      <c r="BK34" s="31">
        <v>0.78848560700876091</v>
      </c>
      <c r="BL34" s="31">
        <v>0.91521197007481292</v>
      </c>
      <c r="BM34" s="31">
        <v>0.80509554140127393</v>
      </c>
      <c r="BN34" s="31">
        <v>0.67834394904458595</v>
      </c>
      <c r="BO34" s="31">
        <v>0.83706467661691542</v>
      </c>
      <c r="BP34" s="31">
        <v>0.90286425902864254</v>
      </c>
      <c r="BQ34" s="31">
        <v>0.88585607940446653</v>
      </c>
      <c r="BR34" s="31">
        <v>0.83041744036849408</v>
      </c>
      <c r="BS34" s="31">
        <v>0.88071065989847719</v>
      </c>
      <c r="BT34" s="31">
        <v>0.87898089171974525</v>
      </c>
      <c r="BU34" s="31">
        <v>0.86294416243654826</v>
      </c>
      <c r="BV34" s="31">
        <v>0.90862944162436543</v>
      </c>
      <c r="BW34" s="31">
        <v>0.90706806282722519</v>
      </c>
      <c r="BX34" s="31">
        <v>0.82105263157894737</v>
      </c>
      <c r="BY34" s="31">
        <v>0.86503856041131111</v>
      </c>
      <c r="BZ34" s="31">
        <v>0.87491777292808848</v>
      </c>
      <c r="CA34" s="31">
        <v>0.88205128205128203</v>
      </c>
      <c r="CB34" s="31">
        <v>0.91836734693877553</v>
      </c>
      <c r="CC34" s="31">
        <v>0.89234760051880679</v>
      </c>
      <c r="CD34" s="31">
        <v>0.88428745432399514</v>
      </c>
      <c r="CE34" s="31">
        <v>0.89668367346938771</v>
      </c>
      <c r="CF34" s="31">
        <v>0.9085133418043202</v>
      </c>
      <c r="CG34" s="31">
        <v>0.89821882951653942</v>
      </c>
      <c r="CH34" s="31">
        <v>0.8972099326604438</v>
      </c>
      <c r="CI34" s="31">
        <v>0.88507109004739337</v>
      </c>
      <c r="CJ34" s="31">
        <v>0.74628450106157107</v>
      </c>
      <c r="CK34" s="31">
        <v>0.86531585220500595</v>
      </c>
      <c r="CL34" s="31">
        <v>0.89626055488540413</v>
      </c>
      <c r="CM34" s="31">
        <v>0.88143712574850297</v>
      </c>
      <c r="CN34" s="31">
        <v>0.91008505467800727</v>
      </c>
      <c r="CO34" s="31">
        <v>0.89712918660287078</v>
      </c>
      <c r="CP34" s="31">
        <v>0.86879762360410795</v>
      </c>
      <c r="CQ34" s="31">
        <v>0.91075794621026895</v>
      </c>
      <c r="CR34" s="31">
        <v>0.92307692307692313</v>
      </c>
      <c r="CS34" s="31">
        <v>0.89068322981366455</v>
      </c>
      <c r="CT34" s="31">
        <v>0.92383292383292381</v>
      </c>
      <c r="CU34" s="31">
        <v>0.90452876376988989</v>
      </c>
      <c r="CV34" s="31">
        <v>0.93060718711276336</v>
      </c>
      <c r="CW34" s="31">
        <v>0.8910648714810282</v>
      </c>
      <c r="CX34" s="31">
        <v>0.91065026361392309</v>
      </c>
      <c r="CY34" s="31">
        <v>0.92606060606060603</v>
      </c>
      <c r="CZ34" s="31">
        <v>0.91927710843373489</v>
      </c>
      <c r="DA34" s="31">
        <v>0.92363636363636359</v>
      </c>
      <c r="DB34" s="31">
        <v>0.90807453416149064</v>
      </c>
      <c r="DC34" s="31">
        <v>0.90997566909975669</v>
      </c>
      <c r="DD34" s="31">
        <v>0.92307692307692313</v>
      </c>
      <c r="DE34" s="31">
        <v>0.91605839416058399</v>
      </c>
      <c r="DF34" s="31">
        <v>0.91802279980420842</v>
      </c>
      <c r="DG34" s="31">
        <v>0.87857961053837341</v>
      </c>
      <c r="DH34" s="31">
        <v>0.91990291262135926</v>
      </c>
      <c r="DI34" s="31">
        <v>0.91616766467065869</v>
      </c>
      <c r="DJ34" s="31">
        <v>0.89331770222743256</v>
      </c>
      <c r="DK34" s="31">
        <v>0.87299771167048057</v>
      </c>
      <c r="DL34" s="31">
        <v>0.88610478359908884</v>
      </c>
      <c r="DM34" s="31">
        <v>0.88483466362599772</v>
      </c>
      <c r="DN34" s="31">
        <v>0.8931292927076272</v>
      </c>
      <c r="DO34" s="31">
        <v>0.89018691588785048</v>
      </c>
      <c r="DP34" s="31">
        <v>0.89099526066350709</v>
      </c>
      <c r="DQ34" s="31">
        <v>0.8555176336746303</v>
      </c>
      <c r="DR34" s="31">
        <v>0.87571265678449262</v>
      </c>
      <c r="DS34" s="31">
        <v>0.86431014823261121</v>
      </c>
      <c r="DT34" s="31">
        <v>0.89517078916372206</v>
      </c>
      <c r="DU34" s="31">
        <v>0.90531177829099307</v>
      </c>
      <c r="DV34" s="31">
        <v>0.88245788324254371</v>
      </c>
      <c r="DW34" s="31">
        <v>0.88516746411483249</v>
      </c>
      <c r="DX34" s="31">
        <v>0.87738095238095237</v>
      </c>
      <c r="DY34" s="31">
        <v>0.88098016336056006</v>
      </c>
      <c r="DZ34" s="31">
        <v>0.86111111111111116</v>
      </c>
      <c r="EA34" s="31">
        <v>0.88433734939759034</v>
      </c>
      <c r="EB34" s="31">
        <v>0.89264173703256933</v>
      </c>
      <c r="EC34" s="31">
        <v>0.89987937273823881</v>
      </c>
      <c r="ED34" s="31">
        <v>0.88307116430512222</v>
      </c>
      <c r="EE34" s="31">
        <v>0.88145539906103287</v>
      </c>
      <c r="EF34" s="31">
        <v>0.8883666274970623</v>
      </c>
      <c r="EG34" s="31">
        <v>0.83238312428734318</v>
      </c>
      <c r="EH34" s="31">
        <v>0.85730724971231298</v>
      </c>
      <c r="EI34" s="31">
        <v>0.90047393364928907</v>
      </c>
      <c r="EJ34" s="31">
        <v>0.88862837045720988</v>
      </c>
      <c r="EK34" s="31">
        <v>0.8970414201183432</v>
      </c>
      <c r="EL34" s="31">
        <v>0.87795087496894197</v>
      </c>
    </row>
    <row r="35" spans="2:142" ht="14.25" customHeight="1" x14ac:dyDescent="0.35">
      <c r="B35" s="20"/>
      <c r="C35" s="20"/>
      <c r="D35" s="20"/>
      <c r="E35" s="20"/>
      <c r="F35" s="20"/>
      <c r="G35" s="20"/>
      <c r="AL35" s="19" t="s">
        <v>259</v>
      </c>
      <c r="AM35" s="31">
        <v>0.88607594936708856</v>
      </c>
      <c r="AN35" s="31">
        <v>0.88191190253045926</v>
      </c>
      <c r="AO35" s="31">
        <v>0.88607594936708856</v>
      </c>
      <c r="AP35" s="31">
        <v>0.8826868495742668</v>
      </c>
      <c r="AQ35" s="31">
        <v>0.89069990412272293</v>
      </c>
      <c r="AR35" s="31">
        <v>0.90926640926640923</v>
      </c>
      <c r="AS35" s="31">
        <v>0.87001897533206829</v>
      </c>
      <c r="AT35" s="31">
        <v>0.88667656279430052</v>
      </c>
      <c r="AU35" s="31">
        <v>0.93484419263456087</v>
      </c>
      <c r="AV35" s="31">
        <v>0.92585551330798477</v>
      </c>
      <c r="AW35" s="31">
        <v>0.93422306959008583</v>
      </c>
      <c r="AX35" s="31">
        <v>0.93852065321805955</v>
      </c>
      <c r="AY35" s="31">
        <v>0.94370229007633588</v>
      </c>
      <c r="AZ35" s="31">
        <v>0.9449112978524743</v>
      </c>
      <c r="BA35" s="31">
        <v>0.93703007518796988</v>
      </c>
      <c r="BB35" s="31">
        <v>0.93701244169535303</v>
      </c>
      <c r="BC35" s="31">
        <v>0.87451737451737455</v>
      </c>
      <c r="BD35" s="31">
        <v>0.93087121212121215</v>
      </c>
      <c r="BE35" s="31">
        <v>0.81774349083895859</v>
      </c>
      <c r="BF35" s="31">
        <v>0.86149312377210219</v>
      </c>
      <c r="BG35" s="31">
        <v>0.89797882579403276</v>
      </c>
      <c r="BH35" s="31">
        <v>0.92179863147605079</v>
      </c>
      <c r="BI35" s="31">
        <v>0.93129770992366412</v>
      </c>
      <c r="BJ35" s="31">
        <v>0.89081433834905666</v>
      </c>
      <c r="BK35" s="31">
        <v>0.75829875518672196</v>
      </c>
      <c r="BL35" s="31">
        <v>0.87049659201557938</v>
      </c>
      <c r="BM35" s="31">
        <v>0.77699293642785061</v>
      </c>
      <c r="BN35" s="31">
        <v>0.80597014925373134</v>
      </c>
      <c r="BO35" s="31">
        <v>0.86153846153846159</v>
      </c>
      <c r="BP35" s="31">
        <v>0.84592445328031807</v>
      </c>
      <c r="BQ35" s="31">
        <v>0.88822355289421162</v>
      </c>
      <c r="BR35" s="31">
        <v>0.82963498579955341</v>
      </c>
      <c r="BS35" s="31">
        <v>0.8020541549953315</v>
      </c>
      <c r="BT35" s="31">
        <v>0.85699899295065463</v>
      </c>
      <c r="BU35" s="31">
        <v>0.85227272727272729</v>
      </c>
      <c r="BV35" s="31">
        <v>0.875</v>
      </c>
      <c r="BW35" s="31">
        <v>0.85028790786948172</v>
      </c>
      <c r="BX35" s="31">
        <v>0.84185606060606055</v>
      </c>
      <c r="BY35" s="31">
        <v>0.85283018867924532</v>
      </c>
      <c r="BZ35" s="31">
        <v>0.84732857605335721</v>
      </c>
      <c r="CA35" s="31">
        <v>0.85365853658536583</v>
      </c>
      <c r="CB35" s="31">
        <v>0.88729703915950331</v>
      </c>
      <c r="CC35" s="31">
        <v>0.86680121089808271</v>
      </c>
      <c r="CD35" s="31">
        <v>0.85587364264560706</v>
      </c>
      <c r="CE35" s="31">
        <v>0.86257309941520466</v>
      </c>
      <c r="CF35" s="31">
        <v>0.90503323836657168</v>
      </c>
      <c r="CG35" s="31">
        <v>0.85150375939849621</v>
      </c>
      <c r="CH35" s="31">
        <v>0.86896293235269018</v>
      </c>
      <c r="CI35" s="31">
        <v>0.86723163841807904</v>
      </c>
      <c r="CJ35" s="31">
        <v>0.86220472440944884</v>
      </c>
      <c r="CK35" s="31">
        <v>0.81071098799630659</v>
      </c>
      <c r="CL35" s="31">
        <v>0.8033088235294118</v>
      </c>
      <c r="CM35" s="31">
        <v>0.85674418604651159</v>
      </c>
      <c r="CN35" s="31">
        <v>0.85795454545454541</v>
      </c>
      <c r="CO35" s="31">
        <v>0.84921369102682698</v>
      </c>
      <c r="CP35" s="31">
        <v>0.84390979955444723</v>
      </c>
      <c r="CQ35" s="31">
        <v>0.82185491276400369</v>
      </c>
      <c r="CR35" s="31">
        <v>0.8424908424908425</v>
      </c>
      <c r="CS35" s="31">
        <v>0.84622383985441307</v>
      </c>
      <c r="CT35" s="31">
        <v>0.79963403476669714</v>
      </c>
      <c r="CU35" s="31">
        <v>0.83985102420856605</v>
      </c>
      <c r="CV35" s="31">
        <v>0.83570159857904081</v>
      </c>
      <c r="CW35" s="31">
        <v>0.81885397412199634</v>
      </c>
      <c r="CX35" s="31">
        <v>0.82923003239793702</v>
      </c>
      <c r="CY35" s="31">
        <v>0.80871212121212122</v>
      </c>
      <c r="CZ35" s="31">
        <v>0.80779691749773341</v>
      </c>
      <c r="DA35" s="31">
        <v>0.76524112829845314</v>
      </c>
      <c r="DB35" s="31">
        <v>0.81481481481481477</v>
      </c>
      <c r="DC35" s="31">
        <v>0.77767354596622884</v>
      </c>
      <c r="DD35" s="31">
        <v>0.81467889908256885</v>
      </c>
      <c r="DE35" s="31">
        <v>0.79135338345864659</v>
      </c>
      <c r="DF35" s="31">
        <v>0.79718154433293809</v>
      </c>
      <c r="DG35" s="31">
        <v>0.85249042145593867</v>
      </c>
      <c r="DH35" s="31">
        <v>0.81149012567324952</v>
      </c>
      <c r="DI35" s="31">
        <v>0.80811808118081185</v>
      </c>
      <c r="DJ35" s="31">
        <v>0.83086876155268019</v>
      </c>
      <c r="DK35" s="31">
        <v>0.86213408876298392</v>
      </c>
      <c r="DL35" s="31">
        <v>0.85161290322580641</v>
      </c>
      <c r="DM35" s="31">
        <v>0.85832566697332102</v>
      </c>
      <c r="DN35" s="31">
        <v>0.83929143554639885</v>
      </c>
      <c r="DO35" s="31">
        <v>0.78099547511312217</v>
      </c>
      <c r="DP35" s="31">
        <v>0.83174904942965777</v>
      </c>
      <c r="DQ35" s="31">
        <v>0.80930656934306566</v>
      </c>
      <c r="DR35" s="31">
        <v>0.80494505494505497</v>
      </c>
      <c r="DS35" s="31">
        <v>0.76691042047531988</v>
      </c>
      <c r="DT35" s="31">
        <v>0.81071098799630659</v>
      </c>
      <c r="DU35" s="31">
        <v>0.79703429101019463</v>
      </c>
      <c r="DV35" s="31">
        <v>0.80023597833038873</v>
      </c>
      <c r="DW35" s="31">
        <v>0.82562620423892097</v>
      </c>
      <c r="DX35" s="31">
        <v>0.81675874769797419</v>
      </c>
      <c r="DY35" s="31">
        <v>0.78524124881740776</v>
      </c>
      <c r="DZ35" s="31">
        <v>0.81073446327683618</v>
      </c>
      <c r="EA35" s="31">
        <v>0.83062200956937804</v>
      </c>
      <c r="EB35" s="31">
        <v>0.85178236397748597</v>
      </c>
      <c r="EC35" s="31">
        <v>0.83906976744186046</v>
      </c>
      <c r="ED35" s="31">
        <v>0.8228335435742663</v>
      </c>
      <c r="EE35" s="31">
        <v>0.83348666053357867</v>
      </c>
      <c r="EF35" s="31">
        <v>0.83458646616541354</v>
      </c>
      <c r="EG35" s="31">
        <v>0.84114832535885165</v>
      </c>
      <c r="EH35" s="31">
        <v>0.84925093632958804</v>
      </c>
      <c r="EI35" s="31">
        <v>0.86905916585838994</v>
      </c>
      <c r="EJ35" s="31">
        <v>0.83538315988647116</v>
      </c>
      <c r="EK35" s="31">
        <v>0.87031700288184433</v>
      </c>
      <c r="EL35" s="31">
        <v>0.8476045310020196</v>
      </c>
    </row>
    <row r="36" spans="2:142" x14ac:dyDescent="0.35">
      <c r="AL36" s="19" t="s">
        <v>90</v>
      </c>
      <c r="AM36" s="31">
        <v>0.97372060857538034</v>
      </c>
      <c r="AN36" s="31">
        <v>0.90563380281690142</v>
      </c>
      <c r="AO36" s="31">
        <v>0.88145048814504878</v>
      </c>
      <c r="AP36" s="31">
        <v>0.97346368715083798</v>
      </c>
      <c r="AQ36" s="31">
        <v>0.9410112359550562</v>
      </c>
      <c r="AR36" s="31">
        <v>0.94084507042253518</v>
      </c>
      <c r="AS36" s="31">
        <v>0.95378151260504207</v>
      </c>
      <c r="AT36" s="31">
        <v>0.93855805795297176</v>
      </c>
      <c r="AU36" s="31">
        <v>0.95810055865921784</v>
      </c>
      <c r="AV36" s="31">
        <v>0.97364771151178919</v>
      </c>
      <c r="AW36" s="31">
        <v>0.9511173184357542</v>
      </c>
      <c r="AX36" s="31">
        <v>0.95604395604395609</v>
      </c>
      <c r="AY36" s="31">
        <v>0.95664335664335665</v>
      </c>
      <c r="AZ36" s="31">
        <v>0.94692737430167595</v>
      </c>
      <c r="BA36" s="31">
        <v>0.95798319327731096</v>
      </c>
      <c r="BB36" s="31">
        <v>0.95720906698186581</v>
      </c>
      <c r="BC36" s="31">
        <v>0.9538461538461539</v>
      </c>
      <c r="BD36" s="31">
        <v>0.97241379310344822</v>
      </c>
      <c r="BE36" s="31">
        <v>0.89621318373071523</v>
      </c>
      <c r="BF36" s="31">
        <v>0.96931659693165972</v>
      </c>
      <c r="BG36" s="31">
        <v>0.95118549511854955</v>
      </c>
      <c r="BH36" s="31">
        <v>0.96463932107496464</v>
      </c>
      <c r="BI36" s="31">
        <v>0.94979079497907948</v>
      </c>
      <c r="BJ36" s="31">
        <v>0.95105790554065295</v>
      </c>
      <c r="BK36" s="31">
        <v>0.79218967921896788</v>
      </c>
      <c r="BL36" s="31">
        <v>0.93026499302649934</v>
      </c>
      <c r="BM36" s="31">
        <v>0.83542538354253837</v>
      </c>
      <c r="BN36" s="31">
        <v>0.85310734463276838</v>
      </c>
      <c r="BO36" s="31">
        <v>0.92653061224489797</v>
      </c>
      <c r="BP36" s="31">
        <v>0.93133047210300424</v>
      </c>
      <c r="BQ36" s="31">
        <v>0.89804469273743015</v>
      </c>
      <c r="BR36" s="31">
        <v>0.88098473964372936</v>
      </c>
      <c r="BS36" s="31">
        <v>0.92567567567567566</v>
      </c>
      <c r="BT36" s="31">
        <v>0.92191780821917813</v>
      </c>
      <c r="BU36" s="31">
        <v>0.94772117962466484</v>
      </c>
      <c r="BV36" s="31">
        <v>0.93767313019390586</v>
      </c>
      <c r="BW36" s="31">
        <v>0.92520775623268703</v>
      </c>
      <c r="BX36" s="31">
        <v>0.9432918395573997</v>
      </c>
      <c r="BY36" s="31">
        <v>0.96561210453920221</v>
      </c>
      <c r="BZ36" s="31">
        <v>0.93815707057753051</v>
      </c>
      <c r="CA36" s="31">
        <v>0.94407456724367511</v>
      </c>
      <c r="CB36" s="31">
        <v>0.94489247311827962</v>
      </c>
      <c r="CC36" s="31">
        <v>0.92965517241379314</v>
      </c>
      <c r="CD36" s="31">
        <v>0.92965517241379314</v>
      </c>
      <c r="CE36" s="31">
        <v>0.96329113924050636</v>
      </c>
      <c r="CF36" s="31">
        <v>0.94300518134715028</v>
      </c>
      <c r="CG36" s="31">
        <v>0.95547073791348602</v>
      </c>
      <c r="CH36" s="31">
        <v>0.94429206338438321</v>
      </c>
      <c r="CI36" s="31">
        <v>0.91566265060240959</v>
      </c>
      <c r="CJ36" s="31">
        <v>0.95238095238095233</v>
      </c>
      <c r="CK36" s="31">
        <v>1</v>
      </c>
      <c r="CL36" s="31">
        <v>0.89841688654353558</v>
      </c>
      <c r="CM36" s="31">
        <v>0.88390501319261217</v>
      </c>
      <c r="CN36" s="31">
        <v>0.92529488859764086</v>
      </c>
      <c r="CO36" s="31">
        <v>0.92791612057667106</v>
      </c>
      <c r="CP36" s="31">
        <v>0.92908235884197465</v>
      </c>
      <c r="CQ36" s="31">
        <v>0.93650793650793651</v>
      </c>
      <c r="CR36" s="31">
        <v>0.89973614775725597</v>
      </c>
      <c r="CS36" s="31">
        <v>0.91678224687933429</v>
      </c>
      <c r="CT36" s="31">
        <v>0.9557046979865772</v>
      </c>
      <c r="CU36" s="31">
        <v>0.93650793650793651</v>
      </c>
      <c r="CV36" s="31">
        <v>0.94214876033057848</v>
      </c>
      <c r="CW36" s="31">
        <v>0.95084087968952136</v>
      </c>
      <c r="CX36" s="31">
        <v>0.93403265795130586</v>
      </c>
      <c r="CY36" s="31">
        <v>0.91597796143250687</v>
      </c>
      <c r="CZ36" s="31">
        <v>0.93472222222222223</v>
      </c>
      <c r="DA36" s="31">
        <v>0.89835164835164838</v>
      </c>
      <c r="DB36" s="31">
        <v>0.87637362637362637</v>
      </c>
      <c r="DC36" s="31">
        <v>0.91346153846153844</v>
      </c>
      <c r="DD36" s="31">
        <v>0.95934959349593496</v>
      </c>
      <c r="DE36" s="31">
        <v>0.92045454545454541</v>
      </c>
      <c r="DF36" s="31">
        <v>0.91695587654171751</v>
      </c>
      <c r="DG36" s="31">
        <v>0.87037037037037035</v>
      </c>
      <c r="DH36" s="31">
        <v>0.91798561151079139</v>
      </c>
      <c r="DI36" s="31">
        <v>0.85</v>
      </c>
      <c r="DJ36" s="31">
        <v>0.87777777777777777</v>
      </c>
      <c r="DK36" s="31">
        <v>0.88488210818307911</v>
      </c>
      <c r="DL36" s="31">
        <v>0.92399403874813713</v>
      </c>
      <c r="DM36" s="31">
        <v>0.87659574468085111</v>
      </c>
      <c r="DN36" s="31">
        <v>0.88594366446728667</v>
      </c>
      <c r="DO36" s="31">
        <v>0.85854341736694673</v>
      </c>
      <c r="DP36" s="31">
        <v>0.85277777777777775</v>
      </c>
      <c r="DQ36" s="31">
        <v>0.77259887005649719</v>
      </c>
      <c r="DR36" s="31">
        <v>0.77542372881355937</v>
      </c>
      <c r="DS36" s="31">
        <v>0.84861111111111109</v>
      </c>
      <c r="DT36" s="31">
        <v>0.83750000000000002</v>
      </c>
      <c r="DU36" s="31">
        <v>0.88055555555555554</v>
      </c>
      <c r="DV36" s="31">
        <v>0.83228720866877826</v>
      </c>
      <c r="DW36" s="31">
        <v>0.80878186968838528</v>
      </c>
      <c r="DX36" s="31">
        <v>0.82960893854748607</v>
      </c>
      <c r="DY36" s="31">
        <v>0.80938833570412516</v>
      </c>
      <c r="DZ36" s="31">
        <v>0.88055555555555554</v>
      </c>
      <c r="EA36" s="31">
        <v>0.8211267605633803</v>
      </c>
      <c r="EB36" s="31">
        <v>0.83053221288515411</v>
      </c>
      <c r="EC36" s="31">
        <v>0.81372549019607843</v>
      </c>
      <c r="ED36" s="31">
        <v>0.82767416616288059</v>
      </c>
      <c r="EE36" s="31">
        <v>0.8425655976676385</v>
      </c>
      <c r="EF36" s="31">
        <v>0.88888888888888884</v>
      </c>
      <c r="EG36" s="31">
        <v>0.77245508982035926</v>
      </c>
      <c r="EH36" s="31">
        <v>0.7619760479041916</v>
      </c>
      <c r="EI36" s="31">
        <v>0.77647058823529413</v>
      </c>
      <c r="EJ36" s="31">
        <v>0.84062059238363895</v>
      </c>
      <c r="EK36" s="31">
        <v>0.80594900849858353</v>
      </c>
      <c r="EL36" s="31">
        <v>0.81270368762837053</v>
      </c>
    </row>
    <row r="37" spans="2:142" x14ac:dyDescent="0.35">
      <c r="AL37" s="19" t="s">
        <v>91</v>
      </c>
      <c r="AM37" s="31">
        <v>0.77486910994764402</v>
      </c>
      <c r="AN37" s="31">
        <v>0.7773972602739726</v>
      </c>
      <c r="AO37" s="31">
        <v>0.78534031413612571</v>
      </c>
      <c r="AP37" s="31">
        <v>0.80650684931506844</v>
      </c>
      <c r="AQ37" s="31">
        <v>0.77397260273972601</v>
      </c>
      <c r="AR37" s="31">
        <v>0.8047945205479452</v>
      </c>
      <c r="AS37" s="31">
        <v>0.78595890410958902</v>
      </c>
      <c r="AT37" s="31">
        <v>0.78697708015286738</v>
      </c>
      <c r="AU37" s="31">
        <v>0.81663837011884555</v>
      </c>
      <c r="AV37" s="31">
        <v>0.84210526315789469</v>
      </c>
      <c r="AW37" s="31">
        <v>0.8047538200339559</v>
      </c>
      <c r="AX37" s="31">
        <v>0.8234295415959253</v>
      </c>
      <c r="AY37" s="31">
        <v>0.82852292020373519</v>
      </c>
      <c r="AZ37" s="31">
        <v>0.85059422750424452</v>
      </c>
      <c r="BA37" s="31">
        <v>0.82852292020373519</v>
      </c>
      <c r="BB37" s="31">
        <v>0.8277952946883339</v>
      </c>
      <c r="BC37" s="31">
        <v>0.82689075630252096</v>
      </c>
      <c r="BD37" s="31">
        <v>0.83361629881154498</v>
      </c>
      <c r="BE37" s="31">
        <v>0.80504201680672272</v>
      </c>
      <c r="BF37" s="31">
        <v>0.81008403361344539</v>
      </c>
      <c r="BG37" s="31">
        <v>0.86554621848739499</v>
      </c>
      <c r="BH37" s="31">
        <v>0.83865546218487397</v>
      </c>
      <c r="BI37" s="31">
        <v>0.85546218487394954</v>
      </c>
      <c r="BJ37" s="31">
        <v>0.83361385301149316</v>
      </c>
      <c r="BK37" s="31">
        <v>0.68718801996672207</v>
      </c>
      <c r="BL37" s="31">
        <v>0.80840336134453783</v>
      </c>
      <c r="BM37" s="31">
        <v>0.6905158069883528</v>
      </c>
      <c r="BN37" s="31">
        <v>0.72545757071547423</v>
      </c>
      <c r="BO37" s="31">
        <v>0.74708818635607321</v>
      </c>
      <c r="BP37" s="31">
        <v>0.76441515650741354</v>
      </c>
      <c r="BQ37" s="31">
        <v>0.75782537067545308</v>
      </c>
      <c r="BR37" s="31">
        <v>0.74012763893628952</v>
      </c>
      <c r="BS37" s="31">
        <v>0.80569514237855944</v>
      </c>
      <c r="BT37" s="31">
        <v>0.78411053540587217</v>
      </c>
      <c r="BU37" s="31">
        <v>0.80808080808080807</v>
      </c>
      <c r="BV37" s="31">
        <v>0.85690235690235694</v>
      </c>
      <c r="BW37" s="31">
        <v>0.83194675540765395</v>
      </c>
      <c r="BX37" s="31">
        <v>0.82571912013536375</v>
      </c>
      <c r="BY37" s="31">
        <v>0.85160202360876902</v>
      </c>
      <c r="BZ37" s="31">
        <v>0.82343667741705484</v>
      </c>
      <c r="CA37" s="31">
        <v>0.84615384615384615</v>
      </c>
      <c r="CB37" s="31">
        <v>0.888507718696398</v>
      </c>
      <c r="CC37" s="31">
        <v>0.84090909090909094</v>
      </c>
      <c r="CD37" s="31">
        <v>0.88461538461538458</v>
      </c>
      <c r="CE37" s="31">
        <v>0.85763293310463118</v>
      </c>
      <c r="CF37" s="31">
        <v>0.89022298456260718</v>
      </c>
      <c r="CG37" s="31">
        <v>0.86449399656946824</v>
      </c>
      <c r="CH37" s="31">
        <v>0.86750513637306081</v>
      </c>
      <c r="CI37" s="31">
        <v>0.83916083916083917</v>
      </c>
      <c r="CJ37" s="31">
        <v>0.87587412587412583</v>
      </c>
      <c r="CK37" s="31">
        <v>0.85314685314685312</v>
      </c>
      <c r="CL37" s="31">
        <v>0.86713286713286708</v>
      </c>
      <c r="CM37" s="31">
        <v>0.80944055944055948</v>
      </c>
      <c r="CN37" s="31">
        <v>0.87412587412587417</v>
      </c>
      <c r="CO37" s="31">
        <v>0.83741258741258739</v>
      </c>
      <c r="CP37" s="31">
        <v>0.85089910089910092</v>
      </c>
      <c r="CQ37" s="31">
        <v>0.8776223776223776</v>
      </c>
      <c r="CR37" s="31">
        <v>0.89160839160839156</v>
      </c>
      <c r="CS37" s="31">
        <v>0.86818980667838308</v>
      </c>
      <c r="CT37" s="31">
        <v>0.86115992970123023</v>
      </c>
      <c r="CU37" s="31">
        <v>0.84790209790209792</v>
      </c>
      <c r="CV37" s="31">
        <v>0.8601398601398601</v>
      </c>
      <c r="CW37" s="31">
        <v>0.84965034965034969</v>
      </c>
      <c r="CX37" s="31">
        <v>0.86518183047181274</v>
      </c>
      <c r="CY37" s="31">
        <v>0.8699472759226714</v>
      </c>
      <c r="CZ37" s="31">
        <v>0.88576449912126543</v>
      </c>
      <c r="DA37" s="31">
        <v>0.88049209138840068</v>
      </c>
      <c r="DB37" s="31">
        <v>0.9349736379613357</v>
      </c>
      <c r="DC37" s="31">
        <v>0.86643233743409487</v>
      </c>
      <c r="DD37" s="31">
        <v>0.90509666080843587</v>
      </c>
      <c r="DE37" s="31">
        <v>0.89279437609841827</v>
      </c>
      <c r="DF37" s="31">
        <v>0.89078583981923187</v>
      </c>
      <c r="DG37" s="31">
        <v>0.85940246045694202</v>
      </c>
      <c r="DH37" s="31">
        <v>0.90509666080843587</v>
      </c>
      <c r="DI37" s="31">
        <v>0.82073813708260102</v>
      </c>
      <c r="DJ37" s="31">
        <v>0.81370826010544817</v>
      </c>
      <c r="DK37" s="31">
        <v>0.8840070298769771</v>
      </c>
      <c r="DL37" s="31">
        <v>0.91739894551845347</v>
      </c>
      <c r="DM37" s="31">
        <v>0.90509666080843587</v>
      </c>
      <c r="DN37" s="31">
        <v>0.87220687923675622</v>
      </c>
      <c r="DO37" s="31">
        <v>0.70307167235494883</v>
      </c>
      <c r="DP37" s="31">
        <v>0.82425307557117755</v>
      </c>
      <c r="DQ37" s="31">
        <v>0.71454219030520649</v>
      </c>
      <c r="DR37" s="31">
        <v>0.74147217235188512</v>
      </c>
      <c r="DS37" s="31">
        <v>0.71843003412969286</v>
      </c>
      <c r="DT37" s="31">
        <v>0.81195079086115995</v>
      </c>
      <c r="DU37" s="31">
        <v>0.74914675767918093</v>
      </c>
      <c r="DV37" s="31">
        <v>0.75183809903617871</v>
      </c>
      <c r="DW37" s="31">
        <v>0.73721340388007051</v>
      </c>
      <c r="DX37" s="31">
        <v>0.78994614003590669</v>
      </c>
      <c r="DY37" s="31">
        <v>0.73192239858906527</v>
      </c>
      <c r="DZ37" s="31">
        <v>0.75661375661375663</v>
      </c>
      <c r="EA37" s="31">
        <v>0.78815080789946135</v>
      </c>
      <c r="EB37" s="31">
        <v>0.80610412926391384</v>
      </c>
      <c r="EC37" s="31">
        <v>0.77737881508078999</v>
      </c>
      <c r="ED37" s="31">
        <v>0.76961849305185215</v>
      </c>
      <c r="EE37" s="31">
        <v>0.73588039867109634</v>
      </c>
      <c r="EF37" s="31">
        <v>0.77374784110535411</v>
      </c>
      <c r="EG37" s="31">
        <v>0.70833333333333337</v>
      </c>
      <c r="EH37" s="31">
        <v>0.71499999999999997</v>
      </c>
      <c r="EI37" s="31">
        <v>0.75493421052631582</v>
      </c>
      <c r="EJ37" s="31">
        <v>0.73519736842105265</v>
      </c>
      <c r="EK37" s="31">
        <v>0.74506578947368418</v>
      </c>
      <c r="EL37" s="31">
        <v>0.73830842021869092</v>
      </c>
    </row>
    <row r="38" spans="2:142" x14ac:dyDescent="0.35">
      <c r="AL38" s="19" t="s">
        <v>92</v>
      </c>
      <c r="AM38" s="31">
        <v>0.89625108979947687</v>
      </c>
      <c r="AN38" s="31">
        <v>0.92342342342342343</v>
      </c>
      <c r="AO38" s="31">
        <v>0.88624338624338628</v>
      </c>
      <c r="AP38" s="31">
        <v>0.9151943462897526</v>
      </c>
      <c r="AQ38" s="31">
        <v>0.93559617058311573</v>
      </c>
      <c r="AR38" s="31">
        <v>0.92730496453900713</v>
      </c>
      <c r="AS38" s="31">
        <v>0.91666666666666663</v>
      </c>
      <c r="AT38" s="31">
        <v>0.91438286393497559</v>
      </c>
      <c r="AU38" s="31">
        <v>0.94667832167832167</v>
      </c>
      <c r="AV38" s="31">
        <v>0.93678665496049163</v>
      </c>
      <c r="AW38" s="31">
        <v>0.93368237347294936</v>
      </c>
      <c r="AX38" s="31">
        <v>0.93045774647887325</v>
      </c>
      <c r="AY38" s="31">
        <v>0.94969644405897657</v>
      </c>
      <c r="AZ38" s="31">
        <v>0.93154246100519933</v>
      </c>
      <c r="BA38" s="31">
        <v>0.9128160418482999</v>
      </c>
      <c r="BB38" s="31">
        <v>0.93452286335758739</v>
      </c>
      <c r="BC38" s="31">
        <v>0.90845684394071491</v>
      </c>
      <c r="BD38" s="31">
        <v>0.92220279720279719</v>
      </c>
      <c r="BE38" s="31">
        <v>0.91308165057067603</v>
      </c>
      <c r="BF38" s="31">
        <v>0.89922480620155043</v>
      </c>
      <c r="BG38" s="31">
        <v>0.96048109965635742</v>
      </c>
      <c r="BH38" s="31">
        <v>0.95446735395189009</v>
      </c>
      <c r="BI38" s="31">
        <v>0.94863013698630139</v>
      </c>
      <c r="BJ38" s="31">
        <v>0.9295063840728981</v>
      </c>
      <c r="BK38" s="31">
        <v>0.78157894736842104</v>
      </c>
      <c r="BL38" s="31">
        <v>0.88435374149659862</v>
      </c>
      <c r="BM38" s="31">
        <v>0.80413297394429473</v>
      </c>
      <c r="BN38" s="31">
        <v>0.83687943262411346</v>
      </c>
      <c r="BO38" s="31">
        <v>0.85764192139737994</v>
      </c>
      <c r="BP38" s="31">
        <v>0.91723549488054612</v>
      </c>
      <c r="BQ38" s="31">
        <v>0.88484848484848488</v>
      </c>
      <c r="BR38" s="31">
        <v>0.85238157093711986</v>
      </c>
      <c r="BS38" s="31">
        <v>0.86919831223628696</v>
      </c>
      <c r="BT38" s="31">
        <v>0.86442141623488777</v>
      </c>
      <c r="BU38" s="31">
        <v>0.87946799667497921</v>
      </c>
      <c r="BV38" s="31">
        <v>0.88842975206611574</v>
      </c>
      <c r="BW38" s="31">
        <v>0.90101522842639592</v>
      </c>
      <c r="BX38" s="31">
        <v>0.89374464438731793</v>
      </c>
      <c r="BY38" s="31">
        <v>0.91500000000000004</v>
      </c>
      <c r="BZ38" s="31">
        <v>0.88732533571799765</v>
      </c>
      <c r="CA38" s="31">
        <v>0.89571068124474351</v>
      </c>
      <c r="CB38" s="31">
        <v>0.90089358245328999</v>
      </c>
      <c r="CC38" s="31">
        <v>0.91220735785953178</v>
      </c>
      <c r="CD38" s="31">
        <v>0.89975349219391942</v>
      </c>
      <c r="CE38" s="31">
        <v>0.89610389610389607</v>
      </c>
      <c r="CF38" s="31">
        <v>0.91171617161716167</v>
      </c>
      <c r="CG38" s="31">
        <v>0.86942416869424166</v>
      </c>
      <c r="CH38" s="31">
        <v>0.89797276430954054</v>
      </c>
      <c r="CI38" s="31">
        <v>0.84484159220146227</v>
      </c>
      <c r="CJ38" s="31">
        <v>0.906099518459069</v>
      </c>
      <c r="CK38" s="31">
        <v>0.8051323175621492</v>
      </c>
      <c r="CL38" s="31">
        <v>0.84798685291700904</v>
      </c>
      <c r="CM38" s="31">
        <v>0.87318255250403876</v>
      </c>
      <c r="CN38" s="31">
        <v>0.90495532087733555</v>
      </c>
      <c r="CO38" s="31">
        <v>0.86257073565076803</v>
      </c>
      <c r="CP38" s="31">
        <v>0.8635384128816902</v>
      </c>
      <c r="CQ38" s="31">
        <v>0.89080459770114939</v>
      </c>
      <c r="CR38" s="31">
        <v>0.87868852459016389</v>
      </c>
      <c r="CS38" s="31">
        <v>0.83263598326359833</v>
      </c>
      <c r="CT38" s="31">
        <v>0.85206611570247937</v>
      </c>
      <c r="CU38" s="31">
        <v>0.88461538461538458</v>
      </c>
      <c r="CV38" s="31">
        <v>0.864951768488746</v>
      </c>
      <c r="CW38" s="31">
        <v>0.89079054604726982</v>
      </c>
      <c r="CX38" s="31">
        <v>0.87065041720125591</v>
      </c>
      <c r="CY38" s="31">
        <v>0.87250000000000005</v>
      </c>
      <c r="CZ38" s="31">
        <v>0.88888888888888884</v>
      </c>
      <c r="DA38" s="31">
        <v>0.85197645079899076</v>
      </c>
      <c r="DB38" s="31">
        <v>0.84705882352941175</v>
      </c>
      <c r="DC38" s="31">
        <v>0.87756778964667215</v>
      </c>
      <c r="DD38" s="31">
        <v>0.87918367346938775</v>
      </c>
      <c r="DE38" s="31">
        <v>0.88095238095238093</v>
      </c>
      <c r="DF38" s="31">
        <v>0.87116114389796173</v>
      </c>
      <c r="DG38" s="31">
        <v>0.84237288135593225</v>
      </c>
      <c r="DH38" s="31">
        <v>0.89186923721709976</v>
      </c>
      <c r="DI38" s="31">
        <v>0.80745880312228968</v>
      </c>
      <c r="DJ38" s="31">
        <v>0.81145374449339203</v>
      </c>
      <c r="DK38" s="31">
        <v>0.8738357324301439</v>
      </c>
      <c r="DL38" s="31">
        <v>0.88796680497925307</v>
      </c>
      <c r="DM38" s="31">
        <v>0.88111298482293421</v>
      </c>
      <c r="DN38" s="31">
        <v>0.85658145548872078</v>
      </c>
      <c r="DO38" s="31">
        <v>0.81851512373968838</v>
      </c>
      <c r="DP38" s="31">
        <v>0.8409893992932862</v>
      </c>
      <c r="DQ38" s="31">
        <v>0.78952205882352944</v>
      </c>
      <c r="DR38" s="31">
        <v>0.80740740740740746</v>
      </c>
      <c r="DS38" s="31">
        <v>0.8575342465753425</v>
      </c>
      <c r="DT38" s="31">
        <v>0.84329710144927539</v>
      </c>
      <c r="DU38" s="31">
        <v>0.85753676470588236</v>
      </c>
      <c r="DV38" s="31">
        <v>0.83068601457063018</v>
      </c>
      <c r="DW38" s="31">
        <v>0.83513513513513515</v>
      </c>
      <c r="DX38" s="31">
        <v>0.84722222222222221</v>
      </c>
      <c r="DY38" s="31">
        <v>0.81464737793851716</v>
      </c>
      <c r="DZ38" s="31">
        <v>0.82683590208522217</v>
      </c>
      <c r="EA38" s="31">
        <v>0.85171790235081379</v>
      </c>
      <c r="EB38" s="31">
        <v>0.84254143646408841</v>
      </c>
      <c r="EC38" s="31">
        <v>0.86308973172987979</v>
      </c>
      <c r="ED38" s="31">
        <v>0.84016995827512553</v>
      </c>
      <c r="EE38" s="31">
        <v>0.82993799822852077</v>
      </c>
      <c r="EF38" s="31">
        <v>0.84358047016274862</v>
      </c>
      <c r="EG38" s="31">
        <v>0.82222222222222219</v>
      </c>
      <c r="EH38" s="31">
        <v>0.82933333333333337</v>
      </c>
      <c r="EI38" s="31">
        <v>0.85881294964028776</v>
      </c>
      <c r="EJ38" s="31">
        <v>0.86313868613138689</v>
      </c>
      <c r="EK38" s="31">
        <v>0.87443130118289358</v>
      </c>
      <c r="EL38" s="31">
        <v>0.84592242298591314</v>
      </c>
    </row>
    <row r="39" spans="2:142" x14ac:dyDescent="0.35">
      <c r="AL39" s="19" t="s">
        <v>93</v>
      </c>
      <c r="AM39" s="31">
        <v>0.8835978835978836</v>
      </c>
      <c r="AN39" s="31">
        <v>0.86021505376344087</v>
      </c>
      <c r="AO39" s="31">
        <v>0.83505154639175261</v>
      </c>
      <c r="AP39" s="31">
        <v>0.86010362694300513</v>
      </c>
      <c r="AQ39" s="31">
        <v>0.84318766066838047</v>
      </c>
      <c r="AR39" s="31">
        <v>0.81518987341772153</v>
      </c>
      <c r="AS39" s="31">
        <v>0.85279187817258884</v>
      </c>
      <c r="AT39" s="31">
        <v>0.85001964613639625</v>
      </c>
      <c r="AU39" s="31">
        <v>0.89870129870129867</v>
      </c>
      <c r="AV39" s="31">
        <v>0.88917525773195871</v>
      </c>
      <c r="AW39" s="31">
        <v>0.81127450980392157</v>
      </c>
      <c r="AX39" s="31">
        <v>0.83251231527093594</v>
      </c>
      <c r="AY39" s="31">
        <v>0.86649874055415621</v>
      </c>
      <c r="AZ39" s="31">
        <v>0.85459183673469385</v>
      </c>
      <c r="BA39" s="31">
        <v>0.87080103359173122</v>
      </c>
      <c r="BB39" s="31">
        <v>0.86050785605552804</v>
      </c>
      <c r="BC39" s="31">
        <v>0.88029925187032421</v>
      </c>
      <c r="BD39" s="31">
        <v>0.86206896551724133</v>
      </c>
      <c r="BE39" s="31">
        <v>0.78606965174129351</v>
      </c>
      <c r="BF39" s="31">
        <v>0.81546134663341641</v>
      </c>
      <c r="BG39" s="31">
        <v>0.85929648241206025</v>
      </c>
      <c r="BH39" s="31">
        <v>0.86649874055415621</v>
      </c>
      <c r="BI39" s="31">
        <v>0.88431876606683801</v>
      </c>
      <c r="BJ39" s="31">
        <v>0.85057331497076138</v>
      </c>
      <c r="BK39" s="31">
        <v>0.52300242130750607</v>
      </c>
      <c r="BL39" s="31">
        <v>0.88</v>
      </c>
      <c r="BM39" s="31">
        <v>0.55205811138014527</v>
      </c>
      <c r="BN39" s="31">
        <v>0.61985472154963683</v>
      </c>
      <c r="BO39" s="31">
        <v>0.66042154566744726</v>
      </c>
      <c r="BP39" s="31">
        <v>0.80281690140845074</v>
      </c>
      <c r="BQ39" s="31">
        <v>0.73067915690866514</v>
      </c>
      <c r="BR39" s="31">
        <v>0.6812618368888359</v>
      </c>
      <c r="BS39" s="31">
        <v>0.82843137254901966</v>
      </c>
      <c r="BT39" s="31">
        <v>0.75373134328358204</v>
      </c>
      <c r="BU39" s="31">
        <v>0.84285714285714286</v>
      </c>
      <c r="BV39" s="31">
        <v>0.87439613526570048</v>
      </c>
      <c r="BW39" s="31">
        <v>0.85888077858880774</v>
      </c>
      <c r="BX39" s="31">
        <v>0.794044665012407</v>
      </c>
      <c r="BY39" s="31">
        <v>0.85185185185185186</v>
      </c>
      <c r="BZ39" s="31">
        <v>0.82917046991550158</v>
      </c>
      <c r="CA39" s="31">
        <v>0.81818181818181823</v>
      </c>
      <c r="CB39" s="31">
        <v>0.93809523809523809</v>
      </c>
      <c r="CC39" s="31">
        <v>0.79529411764705882</v>
      </c>
      <c r="CD39" s="31">
        <v>0.85377358490566035</v>
      </c>
      <c r="CE39" s="31">
        <v>0.83526682134570762</v>
      </c>
      <c r="CF39" s="31">
        <v>0.94366197183098588</v>
      </c>
      <c r="CG39" s="31">
        <v>0.91509433962264153</v>
      </c>
      <c r="CH39" s="31">
        <v>0.87133827023273014</v>
      </c>
      <c r="CI39" s="31">
        <v>0.80885780885780889</v>
      </c>
      <c r="CJ39" s="31">
        <v>0.910377358490566</v>
      </c>
      <c r="CK39" s="31">
        <v>0.78088578088578087</v>
      </c>
      <c r="CL39" s="31">
        <v>0.81730769230769229</v>
      </c>
      <c r="CM39" s="31">
        <v>0.84210526315789469</v>
      </c>
      <c r="CN39" s="31">
        <v>0.90398126463700235</v>
      </c>
      <c r="CO39" s="31">
        <v>0.8810068649885584</v>
      </c>
      <c r="CP39" s="31">
        <v>0.84921743333218624</v>
      </c>
      <c r="CQ39" s="31">
        <v>0.89712918660287078</v>
      </c>
      <c r="CR39" s="31">
        <v>0.85406698564593297</v>
      </c>
      <c r="CS39" s="31">
        <v>0.85545023696682465</v>
      </c>
      <c r="CT39" s="31">
        <v>0.86774941995359633</v>
      </c>
      <c r="CU39" s="31">
        <v>0.86124401913875603</v>
      </c>
      <c r="CV39" s="31">
        <v>0.88516746411483249</v>
      </c>
      <c r="CW39" s="31">
        <v>0.8779342723004695</v>
      </c>
      <c r="CX39" s="31">
        <v>0.87124879781761189</v>
      </c>
      <c r="CY39" s="31">
        <v>0.86165048543689315</v>
      </c>
      <c r="CZ39" s="31">
        <v>0.88888888888888884</v>
      </c>
      <c r="DA39" s="31">
        <v>0.8068459657701712</v>
      </c>
      <c r="DB39" s="31">
        <v>0.79652605459057069</v>
      </c>
      <c r="DC39" s="31">
        <v>0.82710280373831779</v>
      </c>
      <c r="DD39" s="31">
        <v>0.87962962962962965</v>
      </c>
      <c r="DE39" s="31">
        <v>0.84597701149425286</v>
      </c>
      <c r="DF39" s="31">
        <v>0.84380297707838914</v>
      </c>
      <c r="DG39" s="31">
        <v>0.87264150943396224</v>
      </c>
      <c r="DH39" s="31">
        <v>0.83088235294117652</v>
      </c>
      <c r="DI39" s="31">
        <v>0.84198113207547165</v>
      </c>
      <c r="DJ39" s="31">
        <v>0.8564593301435407</v>
      </c>
      <c r="DK39" s="31">
        <v>0.90931372549019607</v>
      </c>
      <c r="DL39" s="31">
        <v>0.85539215686274506</v>
      </c>
      <c r="DM39" s="31">
        <v>0.90220048899755501</v>
      </c>
      <c r="DN39" s="31">
        <v>0.8669815279920926</v>
      </c>
      <c r="DO39" s="31">
        <v>0.81907090464547683</v>
      </c>
      <c r="DP39" s="31">
        <v>0.91586538461538458</v>
      </c>
      <c r="DQ39" s="31">
        <v>0.76744186046511631</v>
      </c>
      <c r="DR39" s="31">
        <v>0.76674364896073899</v>
      </c>
      <c r="DS39" s="31">
        <v>0.83132530120481929</v>
      </c>
      <c r="DT39" s="31">
        <v>0.8946135831381733</v>
      </c>
      <c r="DU39" s="31">
        <v>0.84543325526932089</v>
      </c>
      <c r="DV39" s="31">
        <v>0.83435627689986147</v>
      </c>
      <c r="DW39" s="31">
        <v>0.89162561576354682</v>
      </c>
      <c r="DX39" s="31">
        <v>0.815242494226328</v>
      </c>
      <c r="DY39" s="31">
        <v>0.89054726368159209</v>
      </c>
      <c r="DZ39" s="31">
        <v>0.90346534653465349</v>
      </c>
      <c r="EA39" s="31">
        <v>0.90640394088669951</v>
      </c>
      <c r="EB39" s="31">
        <v>0.86448598130841126</v>
      </c>
      <c r="EC39" s="31">
        <v>0.88551401869158874</v>
      </c>
      <c r="ED39" s="31">
        <v>0.8796120944418313</v>
      </c>
      <c r="EE39" s="31">
        <v>0.87780548628428923</v>
      </c>
      <c r="EF39" s="31">
        <v>0.94306930693069302</v>
      </c>
      <c r="EG39" s="31">
        <v>0.81326781326781328</v>
      </c>
      <c r="EH39" s="31">
        <v>0.81372549019607843</v>
      </c>
      <c r="EI39" s="31">
        <v>0.89873417721518989</v>
      </c>
      <c r="EJ39" s="31">
        <v>0.91542288557213936</v>
      </c>
      <c r="EK39" s="31">
        <v>0.91</v>
      </c>
      <c r="EL39" s="31">
        <v>0.88171787992374318</v>
      </c>
    </row>
    <row r="40" spans="2:142" x14ac:dyDescent="0.35">
      <c r="AL40" s="19" t="s">
        <v>94</v>
      </c>
      <c r="AM40" s="31">
        <v>0.84668989547038331</v>
      </c>
      <c r="AN40" s="31">
        <v>0.71197411003236244</v>
      </c>
      <c r="AO40" s="31">
        <v>0.78594249201277955</v>
      </c>
      <c r="AP40" s="31">
        <v>0.75692307692307692</v>
      </c>
      <c r="AQ40" s="31">
        <v>0.83959044368600677</v>
      </c>
      <c r="AR40" s="31">
        <v>0.80333333333333334</v>
      </c>
      <c r="AS40" s="31">
        <v>0.74919614147909963</v>
      </c>
      <c r="AT40" s="31">
        <v>0.78480707041957742</v>
      </c>
      <c r="AU40" s="31">
        <v>0.82467532467532467</v>
      </c>
      <c r="AV40" s="31">
        <v>0.78</v>
      </c>
      <c r="AW40" s="31">
        <v>0.8381877022653722</v>
      </c>
      <c r="AX40" s="31">
        <v>0.79598662207357862</v>
      </c>
      <c r="AY40" s="31">
        <v>0.81350482315112538</v>
      </c>
      <c r="AZ40" s="31">
        <v>0.84313725490196079</v>
      </c>
      <c r="BA40" s="31">
        <v>0.81730769230769229</v>
      </c>
      <c r="BB40" s="31">
        <v>0.81611420276786484</v>
      </c>
      <c r="BC40" s="31">
        <v>0.94423791821561343</v>
      </c>
      <c r="BD40" s="31">
        <v>0.78618421052631582</v>
      </c>
      <c r="BE40" s="31">
        <v>0.74121405750798719</v>
      </c>
      <c r="BF40" s="31">
        <v>0.92063492063492058</v>
      </c>
      <c r="BG40" s="31">
        <v>0.91134751773049649</v>
      </c>
      <c r="BH40" s="31">
        <v>0.8087248322147651</v>
      </c>
      <c r="BI40" s="31">
        <v>0.91275167785234901</v>
      </c>
      <c r="BJ40" s="31">
        <v>0.8607278763832068</v>
      </c>
      <c r="BK40" s="31">
        <v>0.98884758364312264</v>
      </c>
      <c r="BL40" s="31">
        <v>0.77316293929712465</v>
      </c>
      <c r="BM40" s="31">
        <v>0.81647940074906367</v>
      </c>
      <c r="BN40" s="31">
        <v>0.66773162939297126</v>
      </c>
      <c r="BO40" s="31">
        <v>0.86021505376344087</v>
      </c>
      <c r="BP40" s="31">
        <v>0.85069444444444442</v>
      </c>
      <c r="BQ40" s="31">
        <v>0.89964157706093195</v>
      </c>
      <c r="BR40" s="31">
        <v>0.83668180405015702</v>
      </c>
      <c r="BS40" s="31">
        <v>1</v>
      </c>
      <c r="BT40" s="31">
        <v>0.71565495207667729</v>
      </c>
      <c r="BU40" s="31">
        <v>0.98947368421052628</v>
      </c>
      <c r="BV40" s="31">
        <v>0.94366197183098588</v>
      </c>
      <c r="BW40" s="31">
        <v>0.96808510638297873</v>
      </c>
      <c r="BX40" s="31">
        <v>0.80645161290322576</v>
      </c>
      <c r="BY40" s="31">
        <v>0.93971631205673756</v>
      </c>
      <c r="BZ40" s="31">
        <v>0.90900623420873294</v>
      </c>
      <c r="CA40" s="31">
        <v>0.84931506849315064</v>
      </c>
      <c r="CB40" s="31">
        <v>0.90753424657534243</v>
      </c>
      <c r="CC40" s="31">
        <v>0.90816326530612246</v>
      </c>
      <c r="CD40" s="31">
        <v>0.8783783783783784</v>
      </c>
      <c r="CE40" s="31">
        <v>0.91973244147157196</v>
      </c>
      <c r="CF40" s="31">
        <v>0.95317725752508364</v>
      </c>
      <c r="CG40" s="31">
        <v>0.97959183673469385</v>
      </c>
      <c r="CH40" s="31">
        <v>0.9136989277834775</v>
      </c>
      <c r="CI40" s="31">
        <v>0.92465753424657537</v>
      </c>
      <c r="CJ40" s="31">
        <v>0.87539936102236426</v>
      </c>
      <c r="CK40" s="31">
        <v>0.90068493150684936</v>
      </c>
      <c r="CL40" s="31">
        <v>0.90940766550522645</v>
      </c>
      <c r="CM40" s="31">
        <v>0.96598639455782309</v>
      </c>
      <c r="CN40" s="31">
        <v>0.92567567567567566</v>
      </c>
      <c r="CO40" s="31">
        <v>0.99651567944250874</v>
      </c>
      <c r="CP40" s="31">
        <v>0.92833246313671769</v>
      </c>
      <c r="CQ40" s="31">
        <v>0.95945945945945943</v>
      </c>
      <c r="CR40" s="31">
        <v>0.86363636363636365</v>
      </c>
      <c r="CS40" s="31">
        <v>0.90034364261168387</v>
      </c>
      <c r="CT40" s="31">
        <v>0.93559322033898307</v>
      </c>
      <c r="CU40" s="31">
        <v>0.95286195286195285</v>
      </c>
      <c r="CV40" s="31">
        <v>0.87128712871287128</v>
      </c>
      <c r="CW40" s="31">
        <v>0.90909090909090906</v>
      </c>
      <c r="CX40" s="31">
        <v>0.91318181095888917</v>
      </c>
      <c r="CY40" s="31">
        <v>0.9307958477508651</v>
      </c>
      <c r="CZ40" s="31">
        <v>0.93559322033898307</v>
      </c>
      <c r="DA40" s="31">
        <v>0.91034482758620694</v>
      </c>
      <c r="DB40" s="31">
        <v>0.926056338028169</v>
      </c>
      <c r="DC40" s="31">
        <v>0.93979933110367897</v>
      </c>
      <c r="DD40" s="31">
        <v>0.89902280130293155</v>
      </c>
      <c r="DE40" s="31">
        <v>0.94701986754966883</v>
      </c>
      <c r="DF40" s="31">
        <v>0.92694746195150046</v>
      </c>
      <c r="DG40" s="31">
        <v>0.8904109589041096</v>
      </c>
      <c r="DH40" s="31">
        <v>0.98226950354609932</v>
      </c>
      <c r="DI40" s="31">
        <v>0.88524590163934425</v>
      </c>
      <c r="DJ40" s="31">
        <v>0.92013888888888884</v>
      </c>
      <c r="DK40" s="31">
        <v>0.94366197183098588</v>
      </c>
      <c r="DL40" s="31">
        <v>1</v>
      </c>
      <c r="DM40" s="31">
        <v>0.95789473684210524</v>
      </c>
      <c r="DN40" s="31">
        <v>0.93994599452164762</v>
      </c>
      <c r="DO40" s="31">
        <v>0.86315789473684212</v>
      </c>
      <c r="DP40" s="31">
        <v>0.85521885521885521</v>
      </c>
      <c r="DQ40" s="31">
        <v>0.80350877192982462</v>
      </c>
      <c r="DR40" s="31">
        <v>0.76512455516014233</v>
      </c>
      <c r="DS40" s="31">
        <v>0.86572438162544174</v>
      </c>
      <c r="DT40" s="31">
        <v>0.98168498168498164</v>
      </c>
      <c r="DU40" s="31">
        <v>0.90106007067137805</v>
      </c>
      <c r="DV40" s="31">
        <v>0.86221135871820931</v>
      </c>
      <c r="DW40" s="31">
        <v>0.88492063492063489</v>
      </c>
      <c r="DX40" s="31">
        <v>0.80208333333333337</v>
      </c>
      <c r="DY40" s="31">
        <v>0.82527881040892193</v>
      </c>
      <c r="DZ40" s="31">
        <v>0.84905660377358494</v>
      </c>
      <c r="EA40" s="31">
        <v>0.80363636363636359</v>
      </c>
      <c r="EB40" s="31">
        <v>0.90405904059040587</v>
      </c>
      <c r="EC40" s="31">
        <v>0.8925925925925926</v>
      </c>
      <c r="ED40" s="31">
        <v>0.85166105417940552</v>
      </c>
      <c r="EE40" s="31">
        <v>0.8424908424908425</v>
      </c>
      <c r="EF40" s="31">
        <v>0.85931558935361219</v>
      </c>
      <c r="EG40" s="31">
        <v>0.78417266187050361</v>
      </c>
      <c r="EH40" s="31">
        <v>0.74100719424460426</v>
      </c>
      <c r="EI40" s="31">
        <v>0.90909090909090906</v>
      </c>
      <c r="EJ40" s="31">
        <v>0.94399999999999995</v>
      </c>
      <c r="EK40" s="31">
        <v>0.87956204379562042</v>
      </c>
      <c r="EL40" s="31">
        <v>0.85137703440658463</v>
      </c>
    </row>
    <row r="41" spans="2:142" x14ac:dyDescent="0.35">
      <c r="AL41" s="19" t="s">
        <v>95</v>
      </c>
      <c r="AM41" s="31">
        <v>0.89920724801812002</v>
      </c>
      <c r="AN41" s="31">
        <v>0.88838268792710706</v>
      </c>
      <c r="AO41" s="31">
        <v>0.87514188422247441</v>
      </c>
      <c r="AP41" s="31">
        <v>0.88649262202043133</v>
      </c>
      <c r="AQ41" s="31">
        <v>0.91928251121076232</v>
      </c>
      <c r="AR41" s="31">
        <v>0.88426966292134834</v>
      </c>
      <c r="AS41" s="31">
        <v>0.90011223344556679</v>
      </c>
      <c r="AT41" s="31">
        <v>0.89326983568083007</v>
      </c>
      <c r="AU41" s="31">
        <v>0.89726027397260277</v>
      </c>
      <c r="AV41" s="31">
        <v>0.90148911798396336</v>
      </c>
      <c r="AW41" s="31">
        <v>0.85986547085201792</v>
      </c>
      <c r="AX41" s="31">
        <v>0.877665544332211</v>
      </c>
      <c r="AY41" s="31">
        <v>0.86764705882352944</v>
      </c>
      <c r="AZ41" s="31">
        <v>0.89117983963344793</v>
      </c>
      <c r="BA41" s="31">
        <v>0.86643437862950057</v>
      </c>
      <c r="BB41" s="31">
        <v>0.88022024060389614</v>
      </c>
      <c r="BC41" s="31">
        <v>0.90854392298435616</v>
      </c>
      <c r="BD41" s="31">
        <v>0.89755011135857465</v>
      </c>
      <c r="BE41" s="31">
        <v>0.87878787878787878</v>
      </c>
      <c r="BF41" s="31">
        <v>0.90036452004860268</v>
      </c>
      <c r="BG41" s="31">
        <v>0.91795481569560045</v>
      </c>
      <c r="BH41" s="31">
        <v>0.89678899082568808</v>
      </c>
      <c r="BI41" s="31">
        <v>0.91745283018867929</v>
      </c>
      <c r="BJ41" s="31">
        <v>0.90249186712705431</v>
      </c>
      <c r="BK41" s="31">
        <v>0.76521739130434785</v>
      </c>
      <c r="BL41" s="31">
        <v>0.91393939393939394</v>
      </c>
      <c r="BM41" s="31">
        <v>0.78200253485424587</v>
      </c>
      <c r="BN41" s="31">
        <v>0.80769230769230771</v>
      </c>
      <c r="BO41" s="31">
        <v>0.8527227722772277</v>
      </c>
      <c r="BP41" s="31">
        <v>0.87816646562123035</v>
      </c>
      <c r="BQ41" s="31">
        <v>0.85819070904645478</v>
      </c>
      <c r="BR41" s="31">
        <v>0.83684736781931546</v>
      </c>
      <c r="BS41" s="31">
        <v>0.87410926365795727</v>
      </c>
      <c r="BT41" s="31">
        <v>0.86555697823303457</v>
      </c>
      <c r="BU41" s="31">
        <v>0.863849765258216</v>
      </c>
      <c r="BV41" s="31">
        <v>0.88732394366197187</v>
      </c>
      <c r="BW41" s="31">
        <v>0.87676056338028174</v>
      </c>
      <c r="BX41" s="31">
        <v>0.88874841972187102</v>
      </c>
      <c r="BY41" s="31">
        <v>0.86522262334536704</v>
      </c>
      <c r="BZ41" s="31">
        <v>0.87451022246552856</v>
      </c>
      <c r="CA41" s="31">
        <v>0.9266169154228856</v>
      </c>
      <c r="CB41" s="31">
        <v>0.90117647058823525</v>
      </c>
      <c r="CC41" s="31">
        <v>0.9235588972431078</v>
      </c>
      <c r="CD41" s="31">
        <v>0.89335006273525719</v>
      </c>
      <c r="CE41" s="31">
        <v>0.91925465838509313</v>
      </c>
      <c r="CF41" s="31">
        <v>0.88339222614840984</v>
      </c>
      <c r="CG41" s="31">
        <v>0.88023952095808389</v>
      </c>
      <c r="CH41" s="31">
        <v>0.90394125021158189</v>
      </c>
      <c r="CI41" s="31">
        <v>0.92592592592592593</v>
      </c>
      <c r="CJ41" s="31">
        <v>0.90249999999999997</v>
      </c>
      <c r="CK41" s="31">
        <v>0.90648379052369077</v>
      </c>
      <c r="CL41" s="31">
        <v>0.90660024906600245</v>
      </c>
      <c r="CM41" s="31">
        <v>0.88074534161490681</v>
      </c>
      <c r="CN41" s="31">
        <v>0.91161616161616166</v>
      </c>
      <c r="CO41" s="31">
        <v>0.92327365728900257</v>
      </c>
      <c r="CP41" s="31">
        <v>0.90816358943367004</v>
      </c>
      <c r="CQ41" s="31">
        <v>0.92704402515723272</v>
      </c>
      <c r="CR41" s="31">
        <v>0.93977415307402756</v>
      </c>
      <c r="CS41" s="31">
        <v>0.88560885608856088</v>
      </c>
      <c r="CT41" s="31">
        <v>0.87639060568603211</v>
      </c>
      <c r="CU41" s="31">
        <v>0.91625615763546797</v>
      </c>
      <c r="CV41" s="31">
        <v>0.95112781954887216</v>
      </c>
      <c r="CW41" s="31">
        <v>0.95256410256410251</v>
      </c>
      <c r="CX41" s="31">
        <v>0.92125224567918518</v>
      </c>
      <c r="CY41" s="31">
        <v>0.87576126674786847</v>
      </c>
      <c r="CZ41" s="31">
        <v>0.92121982210927578</v>
      </c>
      <c r="DA41" s="31">
        <v>0.85925925925925928</v>
      </c>
      <c r="DB41" s="31">
        <v>0.87080745341614907</v>
      </c>
      <c r="DC41" s="31">
        <v>0.86887254901960786</v>
      </c>
      <c r="DD41" s="31">
        <v>0.91718170580964153</v>
      </c>
      <c r="DE41" s="31">
        <v>0.88806888068880685</v>
      </c>
      <c r="DF41" s="31">
        <v>0.8858815624358013</v>
      </c>
      <c r="DG41" s="31">
        <v>0.89175891758917591</v>
      </c>
      <c r="DH41" s="31">
        <v>0.88139825218476908</v>
      </c>
      <c r="DI41" s="31">
        <v>0.88014527845036317</v>
      </c>
      <c r="DJ41" s="31">
        <v>0.875</v>
      </c>
      <c r="DK41" s="31">
        <v>0.87592137592137587</v>
      </c>
      <c r="DL41" s="31">
        <v>0.88613861386138615</v>
      </c>
      <c r="DM41" s="31">
        <v>0.87834549878345503</v>
      </c>
      <c r="DN41" s="31">
        <v>0.881243990970075</v>
      </c>
      <c r="DO41" s="31">
        <v>0.90482233502538068</v>
      </c>
      <c r="DP41" s="31">
        <v>0.91271820448877805</v>
      </c>
      <c r="DQ41" s="31">
        <v>0.93178893178893174</v>
      </c>
      <c r="DR41" s="31">
        <v>0.92496765847347995</v>
      </c>
      <c r="DS41" s="31">
        <v>0.90115532734274706</v>
      </c>
      <c r="DT41" s="31">
        <v>0.91975308641975306</v>
      </c>
      <c r="DU41" s="31">
        <v>0.91194968553459121</v>
      </c>
      <c r="DV41" s="31">
        <v>0.91530788986766598</v>
      </c>
      <c r="DW41" s="31">
        <v>0.93164556962025313</v>
      </c>
      <c r="DX41" s="31">
        <v>0.93814432989690721</v>
      </c>
      <c r="DY41" s="31">
        <v>0.89473684210526316</v>
      </c>
      <c r="DZ41" s="31">
        <v>0.89155107187894078</v>
      </c>
      <c r="EA41" s="31">
        <v>0.9208899876390606</v>
      </c>
      <c r="EB41" s="31">
        <v>0.91510611735330838</v>
      </c>
      <c r="EC41" s="31">
        <v>0.92500000000000004</v>
      </c>
      <c r="ED41" s="31">
        <v>0.9167248454991046</v>
      </c>
      <c r="EE41" s="31">
        <v>0.90544041450777202</v>
      </c>
      <c r="EF41" s="31">
        <v>0.92738853503184715</v>
      </c>
      <c r="EG41" s="31">
        <v>0.91884816753926701</v>
      </c>
      <c r="EH41" s="31">
        <v>0.93193717277486909</v>
      </c>
      <c r="EI41" s="31">
        <v>0.92347600518806749</v>
      </c>
      <c r="EJ41" s="31">
        <v>0.94771241830065356</v>
      </c>
      <c r="EK41" s="31">
        <v>0.94668400520156049</v>
      </c>
      <c r="EL41" s="31">
        <v>0.92878381693486234</v>
      </c>
    </row>
    <row r="42" spans="2:142" x14ac:dyDescent="0.35">
      <c r="AL42" s="19" t="s">
        <v>96</v>
      </c>
      <c r="AM42" s="31">
        <v>0.91512915129151295</v>
      </c>
      <c r="AN42" s="31">
        <v>0.8824626865671642</v>
      </c>
      <c r="AO42" s="31">
        <v>0.86778398510242083</v>
      </c>
      <c r="AP42" s="31">
        <v>0.85634328358208955</v>
      </c>
      <c r="AQ42" s="31">
        <v>0.92490842490842495</v>
      </c>
      <c r="AR42" s="31">
        <v>0.8844765342960289</v>
      </c>
      <c r="AS42" s="31">
        <v>0.87795992714025506</v>
      </c>
      <c r="AT42" s="31">
        <v>0.88700914184112811</v>
      </c>
      <c r="AU42" s="31">
        <v>0.90659340659340659</v>
      </c>
      <c r="AV42" s="31">
        <v>0.92393320964749537</v>
      </c>
      <c r="AW42" s="31">
        <v>0.8957952468007313</v>
      </c>
      <c r="AX42" s="31">
        <v>0.89757914338919931</v>
      </c>
      <c r="AY42" s="31">
        <v>0.91143911439114389</v>
      </c>
      <c r="AZ42" s="31">
        <v>0.92766726943942135</v>
      </c>
      <c r="BA42" s="31">
        <v>0.91985428051001816</v>
      </c>
      <c r="BB42" s="31">
        <v>0.91183738153877392</v>
      </c>
      <c r="BC42" s="31">
        <v>0.93967093235831811</v>
      </c>
      <c r="BD42" s="31">
        <v>0.92153284671532842</v>
      </c>
      <c r="BE42" s="31">
        <v>0.95756457564575648</v>
      </c>
      <c r="BF42" s="31">
        <v>0.91851851851851851</v>
      </c>
      <c r="BG42" s="31">
        <v>0.9455909943714822</v>
      </c>
      <c r="BH42" s="31">
        <v>0.93296089385474856</v>
      </c>
      <c r="BI42" s="31">
        <v>0.92737430167597767</v>
      </c>
      <c r="BJ42" s="31">
        <v>0.93474472330573288</v>
      </c>
      <c r="BK42" s="31">
        <v>0.79622641509433967</v>
      </c>
      <c r="BL42" s="31">
        <v>0.91866913123844729</v>
      </c>
      <c r="BM42" s="31">
        <v>0.83269961977186313</v>
      </c>
      <c r="BN42" s="31">
        <v>0.86931818181818177</v>
      </c>
      <c r="BO42" s="31">
        <v>0.88081936685288642</v>
      </c>
      <c r="BP42" s="31">
        <v>0.91727941176470584</v>
      </c>
      <c r="BQ42" s="31">
        <v>0.9020332717190388</v>
      </c>
      <c r="BR42" s="31">
        <v>0.87386362832278031</v>
      </c>
      <c r="BS42" s="31">
        <v>0.90654205607476634</v>
      </c>
      <c r="BT42" s="31">
        <v>0.93040293040293043</v>
      </c>
      <c r="BU42" s="31">
        <v>0.91896869244935542</v>
      </c>
      <c r="BV42" s="31">
        <v>0.95264116575591984</v>
      </c>
      <c r="BW42" s="31">
        <v>0.9355432780847146</v>
      </c>
      <c r="BX42" s="31">
        <v>0.97074954296160876</v>
      </c>
      <c r="BY42" s="31">
        <v>0.94899817850637525</v>
      </c>
      <c r="BZ42" s="31">
        <v>0.93769226346223866</v>
      </c>
      <c r="CA42" s="31">
        <v>0.93888888888888888</v>
      </c>
      <c r="CB42" s="31">
        <v>0.96036036036036032</v>
      </c>
      <c r="CC42" s="31">
        <v>0.92336448598130838</v>
      </c>
      <c r="CD42" s="31">
        <v>0.91061452513966479</v>
      </c>
      <c r="CE42" s="31">
        <v>0.94833948339483398</v>
      </c>
      <c r="CF42" s="31">
        <v>0.97499999999999998</v>
      </c>
      <c r="CG42" s="31">
        <v>0.95978062157221211</v>
      </c>
      <c r="CH42" s="31">
        <v>0.94519262361960976</v>
      </c>
      <c r="CI42" s="31">
        <v>0.89056603773584908</v>
      </c>
      <c r="CJ42" s="31">
        <v>0.937037037037037</v>
      </c>
      <c r="CK42" s="31">
        <v>0.90656063618290261</v>
      </c>
      <c r="CL42" s="31">
        <v>0.8910891089108911</v>
      </c>
      <c r="CM42" s="31">
        <v>0.92037037037037039</v>
      </c>
      <c r="CN42" s="31">
        <v>0.94678899082568813</v>
      </c>
      <c r="CO42" s="31">
        <v>0.95272727272727276</v>
      </c>
      <c r="CP42" s="31">
        <v>0.92073420768428726</v>
      </c>
      <c r="CQ42" s="31">
        <v>0.90020366598778001</v>
      </c>
      <c r="CR42" s="31">
        <v>0.8904109589041096</v>
      </c>
      <c r="CS42" s="31">
        <v>0.87225548902195604</v>
      </c>
      <c r="CT42" s="31">
        <v>0.88819875776397517</v>
      </c>
      <c r="CU42" s="31">
        <v>0.91277890466531442</v>
      </c>
      <c r="CV42" s="31">
        <v>0.95824634655532359</v>
      </c>
      <c r="CW42" s="31">
        <v>0.90160642570281124</v>
      </c>
      <c r="CX42" s="31">
        <v>0.90338579265732422</v>
      </c>
      <c r="CY42" s="31">
        <v>0.91295116772823781</v>
      </c>
      <c r="CZ42" s="31">
        <v>0.88306451612903225</v>
      </c>
      <c r="DA42" s="31">
        <v>0.81510934393638168</v>
      </c>
      <c r="DB42" s="31">
        <v>0.8539553752535497</v>
      </c>
      <c r="DC42" s="31">
        <v>0.89049586776859502</v>
      </c>
      <c r="DD42" s="31">
        <v>0.90120967741935487</v>
      </c>
      <c r="DE42" s="31">
        <v>0.88223552894211577</v>
      </c>
      <c r="DF42" s="31">
        <v>0.87700306816818097</v>
      </c>
      <c r="DG42" s="31">
        <v>0.93762575452716301</v>
      </c>
      <c r="DH42" s="31">
        <v>0.90040650406504064</v>
      </c>
      <c r="DI42" s="31">
        <v>0.9148073022312373</v>
      </c>
      <c r="DJ42" s="31">
        <v>0.92168674698795183</v>
      </c>
      <c r="DK42" s="31">
        <v>0.9251012145748988</v>
      </c>
      <c r="DL42" s="31">
        <v>0.90427698574338089</v>
      </c>
      <c r="DM42" s="31">
        <v>0.91715976331360949</v>
      </c>
      <c r="DN42" s="31">
        <v>0.91729489592046887</v>
      </c>
      <c r="DO42" s="31">
        <v>0.86227544910179643</v>
      </c>
      <c r="DP42" s="31">
        <v>0.93293885601577908</v>
      </c>
      <c r="DQ42" s="31">
        <v>0.8529411764705882</v>
      </c>
      <c r="DR42" s="31">
        <v>0.83399209486166004</v>
      </c>
      <c r="DS42" s="31">
        <v>0.89919354838709675</v>
      </c>
      <c r="DT42" s="31">
        <v>0.92753623188405798</v>
      </c>
      <c r="DU42" s="31">
        <v>0.91365461847389562</v>
      </c>
      <c r="DV42" s="31">
        <v>0.88893313931355344</v>
      </c>
      <c r="DW42" s="31">
        <v>0.93050193050193053</v>
      </c>
      <c r="DX42" s="31">
        <v>0.87598425196850394</v>
      </c>
      <c r="DY42" s="31">
        <v>0.88783269961977185</v>
      </c>
      <c r="DZ42" s="31">
        <v>0.90944123314065506</v>
      </c>
      <c r="EA42" s="31">
        <v>0.9274509803921569</v>
      </c>
      <c r="EB42" s="31">
        <v>0.92172211350293543</v>
      </c>
      <c r="EC42" s="31">
        <v>0.87403100775193798</v>
      </c>
      <c r="ED42" s="31">
        <v>0.90385203098255595</v>
      </c>
      <c r="EE42" s="31">
        <v>0.94357976653696496</v>
      </c>
      <c r="EF42" s="31">
        <v>0.90625</v>
      </c>
      <c r="EG42" s="31">
        <v>0.88610038610038611</v>
      </c>
      <c r="EH42" s="31">
        <v>0.88932038834951455</v>
      </c>
      <c r="EI42" s="31">
        <v>0.95256916996047436</v>
      </c>
      <c r="EJ42" s="31">
        <v>0.9140625</v>
      </c>
      <c r="EK42" s="31">
        <v>0.95183044315992293</v>
      </c>
      <c r="EL42" s="31">
        <v>0.92053037915818059</v>
      </c>
    </row>
    <row r="43" spans="2:142" x14ac:dyDescent="0.35">
      <c r="AL43" s="19" t="s">
        <v>97</v>
      </c>
      <c r="AM43" s="31">
        <v>0.85446527012127893</v>
      </c>
      <c r="AN43" s="31">
        <v>0.75854465270121274</v>
      </c>
      <c r="AO43" s="31">
        <v>0.77839029768467471</v>
      </c>
      <c r="AP43" s="31">
        <v>0.8125689084895259</v>
      </c>
      <c r="AQ43" s="31">
        <v>0.82910694597574419</v>
      </c>
      <c r="AR43" s="31">
        <v>0.76957001102535827</v>
      </c>
      <c r="AS43" s="31">
        <v>0.76957001102535827</v>
      </c>
      <c r="AT43" s="31">
        <v>0.79603087100330761</v>
      </c>
      <c r="AU43" s="31">
        <v>0.82875960482985733</v>
      </c>
      <c r="AV43" s="31">
        <v>0.78831312017640576</v>
      </c>
      <c r="AW43" s="31">
        <v>0.80264608599779497</v>
      </c>
      <c r="AX43" s="31">
        <v>0.80044101433296577</v>
      </c>
      <c r="AY43" s="31">
        <v>0.83934426229508197</v>
      </c>
      <c r="AZ43" s="31">
        <v>0.82579933847850051</v>
      </c>
      <c r="BA43" s="31">
        <v>0.81808158765159866</v>
      </c>
      <c r="BB43" s="31">
        <v>0.81476928768031509</v>
      </c>
      <c r="BC43" s="31">
        <v>0.83572216097023155</v>
      </c>
      <c r="BD43" s="31">
        <v>0.79272326350606392</v>
      </c>
      <c r="BE43" s="31">
        <v>0.66262403528114666</v>
      </c>
      <c r="BF43" s="31">
        <v>0.75633958103638366</v>
      </c>
      <c r="BG43" s="31">
        <v>0.82910694597574419</v>
      </c>
      <c r="BH43" s="31">
        <v>0.79272326350606392</v>
      </c>
      <c r="BI43" s="31">
        <v>0.82579933847850051</v>
      </c>
      <c r="BJ43" s="31">
        <v>0.78500551267916219</v>
      </c>
      <c r="BK43" s="31">
        <v>0.67475192943770668</v>
      </c>
      <c r="BL43" s="31">
        <v>0.77177508269018746</v>
      </c>
      <c r="BM43" s="31">
        <v>0.67916207276736495</v>
      </c>
      <c r="BN43" s="31">
        <v>0.72105843439911799</v>
      </c>
      <c r="BO43" s="31">
        <v>0.65931642778390298</v>
      </c>
      <c r="BP43" s="31">
        <v>0.74972436604189641</v>
      </c>
      <c r="BQ43" s="31">
        <v>0.72877618522601983</v>
      </c>
      <c r="BR43" s="31">
        <v>0.71208064262088533</v>
      </c>
      <c r="BS43" s="31">
        <v>0.76129779837775202</v>
      </c>
      <c r="BT43" s="31">
        <v>0.77287761852260195</v>
      </c>
      <c r="BU43" s="31">
        <v>0.74623406720741603</v>
      </c>
      <c r="BV43" s="31">
        <v>0.7184241019698725</v>
      </c>
      <c r="BW43" s="31">
        <v>0.74751929437706721</v>
      </c>
      <c r="BX43" s="31">
        <v>0.67695700110253587</v>
      </c>
      <c r="BY43" s="31">
        <v>0.68246968026460864</v>
      </c>
      <c r="BZ43" s="31">
        <v>0.72939708026026473</v>
      </c>
      <c r="CA43" s="31">
        <v>0.75345622119815669</v>
      </c>
      <c r="CB43" s="31">
        <v>0.70104287369640783</v>
      </c>
      <c r="CC43" s="31">
        <v>0.74397244546498276</v>
      </c>
      <c r="CD43" s="31">
        <v>0.74397244546498276</v>
      </c>
      <c r="CE43" s="31">
        <v>0.75921658986175111</v>
      </c>
      <c r="CF43" s="31">
        <v>0.7338709677419355</v>
      </c>
      <c r="CG43" s="31">
        <v>0.74078341013824889</v>
      </c>
      <c r="CH43" s="31">
        <v>0.7394735647952092</v>
      </c>
      <c r="CI43" s="31">
        <v>0.85089686098654704</v>
      </c>
      <c r="CJ43" s="31">
        <v>0.77172653534183078</v>
      </c>
      <c r="CK43" s="31">
        <v>0.75734355044699875</v>
      </c>
      <c r="CL43" s="31">
        <v>0.75888324873096447</v>
      </c>
      <c r="CM43" s="31">
        <v>0.85254988913525498</v>
      </c>
      <c r="CN43" s="31">
        <v>0.74678111587982832</v>
      </c>
      <c r="CO43" s="31">
        <v>0.86298342541436468</v>
      </c>
      <c r="CP43" s="31">
        <v>0.80016637513368416</v>
      </c>
      <c r="CQ43" s="31">
        <v>0.80214541120381411</v>
      </c>
      <c r="CR43" s="31">
        <v>0.81841432225063937</v>
      </c>
      <c r="CS43" s="31">
        <v>0.7671394799054374</v>
      </c>
      <c r="CT43" s="31">
        <v>0.69585798816568045</v>
      </c>
      <c r="CU43" s="31">
        <v>0.68509615384615385</v>
      </c>
      <c r="CV43" s="31">
        <v>0.77430972388955577</v>
      </c>
      <c r="CW43" s="31">
        <v>0.77524038461538458</v>
      </c>
      <c r="CX43" s="31">
        <v>0.75974335198238063</v>
      </c>
      <c r="CY43" s="31">
        <v>0.773696682464455</v>
      </c>
      <c r="CZ43" s="31">
        <v>0.75301204819277112</v>
      </c>
      <c r="DA43" s="31">
        <v>0.72985781990521326</v>
      </c>
      <c r="DB43" s="31">
        <v>0.69675090252707583</v>
      </c>
      <c r="DC43" s="31">
        <v>0.82261904761904758</v>
      </c>
      <c r="DD43" s="31">
        <v>0.77723970944309928</v>
      </c>
      <c r="DE43" s="31">
        <v>0.78941034897713602</v>
      </c>
      <c r="DF43" s="31">
        <v>0.76322665130411405</v>
      </c>
      <c r="DG43" s="31">
        <v>0.76271186440677963</v>
      </c>
      <c r="DH43" s="31">
        <v>0.79061371841155237</v>
      </c>
      <c r="DI43" s="31">
        <v>0.74105011933174225</v>
      </c>
      <c r="DJ43" s="31">
        <v>0.71766169154228854</v>
      </c>
      <c r="DK43" s="31">
        <v>0.75757575757575757</v>
      </c>
      <c r="DL43" s="31">
        <v>0.76420798065296247</v>
      </c>
      <c r="DM43" s="31">
        <v>0.76052948255114317</v>
      </c>
      <c r="DN43" s="31">
        <v>0.75633580206746076</v>
      </c>
      <c r="DO43" s="31">
        <v>0.72397094430992737</v>
      </c>
      <c r="DP43" s="31">
        <v>0.72014925373134331</v>
      </c>
      <c r="DQ43" s="31">
        <v>0.73333333333333328</v>
      </c>
      <c r="DR43" s="31">
        <v>0.72242424242424241</v>
      </c>
      <c r="DS43" s="31">
        <v>0.76092233009708743</v>
      </c>
      <c r="DT43" s="31">
        <v>0.72750000000000004</v>
      </c>
      <c r="DU43" s="31">
        <v>0.73821989528795806</v>
      </c>
      <c r="DV43" s="31">
        <v>0.73235999988341316</v>
      </c>
      <c r="DW43" s="31">
        <v>0.74394904458598721</v>
      </c>
      <c r="DX43" s="31">
        <v>0.72848484848484851</v>
      </c>
      <c r="DY43" s="31">
        <v>0.72356687898089167</v>
      </c>
      <c r="DZ43" s="31">
        <v>0.73126614987080107</v>
      </c>
      <c r="EA43" s="31">
        <v>0.75541401273885356</v>
      </c>
      <c r="EB43" s="31">
        <v>0.77096370463078845</v>
      </c>
      <c r="EC43" s="31">
        <v>0.76951672862453535</v>
      </c>
      <c r="ED43" s="31">
        <v>0.7461659097023865</v>
      </c>
      <c r="EE43" s="31">
        <v>0.72867298578199047</v>
      </c>
      <c r="EF43" s="31">
        <v>0.72866242038216555</v>
      </c>
      <c r="EG43" s="31">
        <v>0.71919431279620849</v>
      </c>
      <c r="EH43" s="31">
        <v>0.70997679814385151</v>
      </c>
      <c r="EI43" s="31">
        <v>0.7503075030750308</v>
      </c>
      <c r="EJ43" s="31">
        <v>0.79490445859872616</v>
      </c>
      <c r="EK43" s="31">
        <v>0.77982779827798276</v>
      </c>
      <c r="EL43" s="31">
        <v>0.74450661100799376</v>
      </c>
    </row>
    <row r="44" spans="2:142" x14ac:dyDescent="0.35">
      <c r="AL44" s="19" t="s">
        <v>98</v>
      </c>
      <c r="AM44" s="31">
        <v>0.82677165354330706</v>
      </c>
      <c r="AN44" s="31">
        <v>0.82095490716180375</v>
      </c>
      <c r="AO44" s="31">
        <v>0.83668005354752339</v>
      </c>
      <c r="AP44" s="31">
        <v>0.79972936400541272</v>
      </c>
      <c r="AQ44" s="31">
        <v>0.84646739130434778</v>
      </c>
      <c r="AR44" s="31">
        <v>0.82526881720430112</v>
      </c>
      <c r="AS44" s="31">
        <v>0.87052341597796146</v>
      </c>
      <c r="AT44" s="31">
        <v>0.8323422289635225</v>
      </c>
      <c r="AU44" s="31">
        <v>0.841313269493844</v>
      </c>
      <c r="AV44" s="31">
        <v>0.84387617765814271</v>
      </c>
      <c r="AW44" s="31">
        <v>0.81538461538461537</v>
      </c>
      <c r="AX44" s="31">
        <v>0.8216292134831461</v>
      </c>
      <c r="AY44" s="31">
        <v>0.87004103967168267</v>
      </c>
      <c r="AZ44" s="31">
        <v>0.8481182795698925</v>
      </c>
      <c r="BA44" s="31">
        <v>0.85115020297699595</v>
      </c>
      <c r="BB44" s="31">
        <v>0.84164468546261706</v>
      </c>
      <c r="BC44" s="31">
        <v>0.87690179806362378</v>
      </c>
      <c r="BD44" s="31">
        <v>0.84908321579689705</v>
      </c>
      <c r="BE44" s="31">
        <v>0.80303030303030298</v>
      </c>
      <c r="BF44" s="31">
        <v>0.7449118046132972</v>
      </c>
      <c r="BG44" s="31">
        <v>0.85318559556786699</v>
      </c>
      <c r="BH44" s="31">
        <v>0.85991678224687929</v>
      </c>
      <c r="BI44" s="31">
        <v>0.88128491620111726</v>
      </c>
      <c r="BJ44" s="31">
        <v>0.83833063078856906</v>
      </c>
      <c r="BK44" s="31">
        <v>0.66666666666666663</v>
      </c>
      <c r="BL44" s="31">
        <v>0.72237569060773477</v>
      </c>
      <c r="BM44" s="31">
        <v>0.67709815078236135</v>
      </c>
      <c r="BN44" s="31">
        <v>0.72046109510086453</v>
      </c>
      <c r="BO44" s="31">
        <v>0.78230337078651691</v>
      </c>
      <c r="BP44" s="31">
        <v>0.75204359673024523</v>
      </c>
      <c r="BQ44" s="31">
        <v>0.76639344262295084</v>
      </c>
      <c r="BR44" s="31">
        <v>0.72676314475676285</v>
      </c>
      <c r="BS44" s="31">
        <v>0.83309759547383311</v>
      </c>
      <c r="BT44" s="31">
        <v>0.74679943100995727</v>
      </c>
      <c r="BU44" s="31">
        <v>0.82496413199426111</v>
      </c>
      <c r="BV44" s="31">
        <v>0.85190409026798308</v>
      </c>
      <c r="BW44" s="31">
        <v>0.85352112676056335</v>
      </c>
      <c r="BX44" s="31">
        <v>0.78011204481792717</v>
      </c>
      <c r="BY44" s="31">
        <v>0.80053547523427038</v>
      </c>
      <c r="BZ44" s="31">
        <v>0.81299055650839935</v>
      </c>
      <c r="CA44" s="31">
        <v>0.88065843621399176</v>
      </c>
      <c r="CB44" s="31">
        <v>0.89078014184397158</v>
      </c>
      <c r="CC44" s="31">
        <v>0.82933709449929482</v>
      </c>
      <c r="CD44" s="31">
        <v>0.80521262002743488</v>
      </c>
      <c r="CE44" s="31">
        <v>0.85850340136054426</v>
      </c>
      <c r="CF44" s="31">
        <v>0.87961696306429549</v>
      </c>
      <c r="CG44" s="31">
        <v>0.90084985835694054</v>
      </c>
      <c r="CH44" s="31">
        <v>0.86356550219521044</v>
      </c>
      <c r="CI44" s="31">
        <v>0.78947368421052633</v>
      </c>
      <c r="CJ44" s="31">
        <v>0.82987551867219922</v>
      </c>
      <c r="CK44" s="31">
        <v>0.78321678321678323</v>
      </c>
      <c r="CL44" s="31">
        <v>0.76839237057220711</v>
      </c>
      <c r="CM44" s="31">
        <v>0.75821287779237845</v>
      </c>
      <c r="CN44" s="31">
        <v>0.83446404341926728</v>
      </c>
      <c r="CO44" s="31">
        <v>0.82655826558265577</v>
      </c>
      <c r="CP44" s="31">
        <v>0.79859907763800242</v>
      </c>
      <c r="CQ44" s="31">
        <v>0.83893557422969189</v>
      </c>
      <c r="CR44" s="31">
        <v>0.81216216216216219</v>
      </c>
      <c r="CS44" s="31">
        <v>0.81497175141242939</v>
      </c>
      <c r="CT44" s="31">
        <v>0.84246575342465757</v>
      </c>
      <c r="CU44" s="31">
        <v>0.79532967032967028</v>
      </c>
      <c r="CV44" s="31">
        <v>0.82705718270571826</v>
      </c>
      <c r="CW44" s="31">
        <v>0.84055944055944054</v>
      </c>
      <c r="CX44" s="31">
        <v>0.82449736211768154</v>
      </c>
      <c r="CY44" s="31">
        <v>0.85921052631578942</v>
      </c>
      <c r="CZ44" s="31">
        <v>0.85810810810810811</v>
      </c>
      <c r="DA44" s="31">
        <v>0.8112449799196787</v>
      </c>
      <c r="DB44" s="31">
        <v>0.80636604774535814</v>
      </c>
      <c r="DC44" s="31">
        <v>0.80509554140127393</v>
      </c>
      <c r="DD44" s="31">
        <v>0.85444743935309975</v>
      </c>
      <c r="DE44" s="31">
        <v>0.85254691689008044</v>
      </c>
      <c r="DF44" s="31">
        <v>0.83528850853334125</v>
      </c>
      <c r="DG44" s="31">
        <v>0.77675033025099072</v>
      </c>
      <c r="DH44" s="31">
        <v>0.81349206349206349</v>
      </c>
      <c r="DI44" s="31">
        <v>0.77406417112299464</v>
      </c>
      <c r="DJ44" s="31">
        <v>0.74901445466491456</v>
      </c>
      <c r="DK44" s="31">
        <v>0.74967234600262123</v>
      </c>
      <c r="DL44" s="31">
        <v>0.83423180592991919</v>
      </c>
      <c r="DM44" s="31">
        <v>0.75590551181102361</v>
      </c>
      <c r="DN44" s="31">
        <v>0.77901866903921824</v>
      </c>
      <c r="DO44" s="31">
        <v>0.75880758807588078</v>
      </c>
      <c r="DP44" s="31">
        <v>0.77617801047120416</v>
      </c>
      <c r="DQ44" s="31">
        <v>0.72939560439560436</v>
      </c>
      <c r="DR44" s="31">
        <v>0.74547983310152988</v>
      </c>
      <c r="DS44" s="31">
        <v>0.76266666666666671</v>
      </c>
      <c r="DT44" s="31">
        <v>0.7857142857142857</v>
      </c>
      <c r="DU44" s="31">
        <v>0.77315436241610735</v>
      </c>
      <c r="DV44" s="31">
        <v>0.76162805012018264</v>
      </c>
      <c r="DW44" s="31">
        <v>0.8491704374057315</v>
      </c>
      <c r="DX44" s="31">
        <v>0.72714870395634379</v>
      </c>
      <c r="DY44" s="31">
        <v>0.80365296803652964</v>
      </c>
      <c r="DZ44" s="31">
        <v>0.7718518518518519</v>
      </c>
      <c r="EA44" s="31">
        <v>0.80346820809248554</v>
      </c>
      <c r="EB44" s="31">
        <v>0.76315789473684215</v>
      </c>
      <c r="EC44" s="31">
        <v>0.78581363004172466</v>
      </c>
      <c r="ED44" s="31">
        <v>0.78632338487450126</v>
      </c>
      <c r="EE44" s="31">
        <v>0.85465116279069764</v>
      </c>
      <c r="EF44" s="31">
        <v>0.83454281567489119</v>
      </c>
      <c r="EG44" s="31">
        <v>0.7485955056179775</v>
      </c>
      <c r="EH44" s="31">
        <v>0.73765867418899855</v>
      </c>
      <c r="EI44" s="31">
        <v>0.8125</v>
      </c>
      <c r="EJ44" s="31">
        <v>0.83673469387755106</v>
      </c>
      <c r="EK44" s="31">
        <v>0.76965517241379311</v>
      </c>
      <c r="EL44" s="31">
        <v>0.79919114636627275</v>
      </c>
    </row>
    <row r="45" spans="2:142" x14ac:dyDescent="0.35">
      <c r="AL45" s="19" t="s">
        <v>99</v>
      </c>
      <c r="AM45" s="31">
        <v>0.84710743801652888</v>
      </c>
      <c r="AN45" s="31">
        <v>0.82061068702290074</v>
      </c>
      <c r="AO45" s="31">
        <v>0.80800000000000005</v>
      </c>
      <c r="AP45" s="31">
        <v>0.81496062992125984</v>
      </c>
      <c r="AQ45" s="31">
        <v>0.85603112840466922</v>
      </c>
      <c r="AR45" s="31">
        <v>0.79457364341085268</v>
      </c>
      <c r="AS45" s="31">
        <v>0.8132295719844358</v>
      </c>
      <c r="AT45" s="31">
        <v>0.82207329982294952</v>
      </c>
      <c r="AU45" s="31">
        <v>0.96785714285714286</v>
      </c>
      <c r="AV45" s="31">
        <v>0.79389312977099236</v>
      </c>
      <c r="AW45" s="31">
        <v>0.98947368421052628</v>
      </c>
      <c r="AX45" s="31">
        <v>0.83038869257950532</v>
      </c>
      <c r="AY45" s="31">
        <v>0.88363636363636366</v>
      </c>
      <c r="AZ45" s="31">
        <v>0.83846153846153848</v>
      </c>
      <c r="BA45" s="31">
        <v>0.8925925925925926</v>
      </c>
      <c r="BB45" s="31">
        <v>0.88518616344409451</v>
      </c>
      <c r="BC45" s="31">
        <v>0.76369863013698636</v>
      </c>
      <c r="BD45" s="31">
        <v>0.89605734767025091</v>
      </c>
      <c r="BE45" s="31">
        <v>0.70588235294117652</v>
      </c>
      <c r="BF45" s="31">
        <v>0.72164948453608246</v>
      </c>
      <c r="BG45" s="31">
        <v>0.88813559322033897</v>
      </c>
      <c r="BH45" s="31">
        <v>0.88235294117647056</v>
      </c>
      <c r="BI45" s="31">
        <v>0.87796610169491529</v>
      </c>
      <c r="BJ45" s="31">
        <v>0.8193917787680316</v>
      </c>
      <c r="BK45" s="31">
        <v>0.66187050359712229</v>
      </c>
      <c r="BL45" s="31">
        <v>0.76351351351351349</v>
      </c>
      <c r="BM45" s="31">
        <v>0.61092150170648463</v>
      </c>
      <c r="BN45" s="31">
        <v>0.67708333333333337</v>
      </c>
      <c r="BO45" s="31">
        <v>0.69624573378839594</v>
      </c>
      <c r="BP45" s="31">
        <v>0.78498293515358364</v>
      </c>
      <c r="BQ45" s="31">
        <v>0.70989761092150172</v>
      </c>
      <c r="BR45" s="31">
        <v>0.70064501885913355</v>
      </c>
      <c r="BS45" s="31">
        <v>0.74048442906574397</v>
      </c>
      <c r="BT45" s="31">
        <v>0.67931034482758623</v>
      </c>
      <c r="BU45" s="31">
        <v>0.7533783783783784</v>
      </c>
      <c r="BV45" s="31">
        <v>0.7407407407407407</v>
      </c>
      <c r="BW45" s="31">
        <v>0.81034482758620685</v>
      </c>
      <c r="BX45" s="31">
        <v>0.77241379310344827</v>
      </c>
      <c r="BY45" s="31">
        <v>0.77351916376306618</v>
      </c>
      <c r="BZ45" s="31">
        <v>0.7528845253521671</v>
      </c>
      <c r="CA45" s="31">
        <v>0.79861111111111116</v>
      </c>
      <c r="CB45" s="31">
        <v>0.81543624161073824</v>
      </c>
      <c r="CC45" s="31">
        <v>0.8</v>
      </c>
      <c r="CD45" s="31">
        <v>0.75945017182130581</v>
      </c>
      <c r="CE45" s="31">
        <v>0.83737024221453282</v>
      </c>
      <c r="CF45" s="31">
        <v>0.85034013605442171</v>
      </c>
      <c r="CG45" s="31">
        <v>0.82094594594594594</v>
      </c>
      <c r="CH45" s="31">
        <v>0.8117362641082938</v>
      </c>
      <c r="CI45" s="31">
        <v>0.73941368078175895</v>
      </c>
      <c r="CJ45" s="31">
        <v>0.77364864864864868</v>
      </c>
      <c r="CK45" s="31">
        <v>0.62798634812286691</v>
      </c>
      <c r="CL45" s="31">
        <v>0.65909090909090906</v>
      </c>
      <c r="CM45" s="31">
        <v>0.75838926174496646</v>
      </c>
      <c r="CN45" s="31">
        <v>0.82817869415807566</v>
      </c>
      <c r="CO45" s="31">
        <v>0.8203389830508474</v>
      </c>
      <c r="CP45" s="31">
        <v>0.74386378937115327</v>
      </c>
      <c r="CQ45" s="31">
        <v>0.80669144981412644</v>
      </c>
      <c r="CR45" s="31">
        <v>0.76691729323308266</v>
      </c>
      <c r="CS45" s="31">
        <v>0.84558823529411764</v>
      </c>
      <c r="CT45" s="31">
        <v>0.77597402597402598</v>
      </c>
      <c r="CU45" s="31">
        <v>0.80514705882352944</v>
      </c>
      <c r="CV45" s="31">
        <v>0.76691729323308266</v>
      </c>
      <c r="CW45" s="31">
        <v>0.76512455516014233</v>
      </c>
      <c r="CX45" s="31">
        <v>0.79033713021887242</v>
      </c>
      <c r="CY45" s="31">
        <v>0.88235294117647056</v>
      </c>
      <c r="CZ45" s="31">
        <v>0.78547854785478544</v>
      </c>
      <c r="DA45" s="31">
        <v>0.79432624113475181</v>
      </c>
      <c r="DB45" s="31">
        <v>0.83011583011583012</v>
      </c>
      <c r="DC45" s="31">
        <v>0.84805653710247353</v>
      </c>
      <c r="DD45" s="31">
        <v>0.78547854785478544</v>
      </c>
      <c r="DE45" s="31">
        <v>0.85765124555160144</v>
      </c>
      <c r="DF45" s="31">
        <v>0.82620855582724262</v>
      </c>
      <c r="DG45" s="31">
        <v>0.84899328859060408</v>
      </c>
      <c r="DH45" s="31">
        <v>0.85769230769230764</v>
      </c>
      <c r="DI45" s="31">
        <v>0.76923076923076927</v>
      </c>
      <c r="DJ45" s="31">
        <v>0.80456026058631924</v>
      </c>
      <c r="DK45" s="31">
        <v>0.80952380952380953</v>
      </c>
      <c r="DL45" s="31">
        <v>0.83629893238434161</v>
      </c>
      <c r="DM45" s="31">
        <v>0.80272108843537415</v>
      </c>
      <c r="DN45" s="31">
        <v>0.81843149377764646</v>
      </c>
      <c r="DO45" s="31">
        <v>0.84459459459459463</v>
      </c>
      <c r="DP45" s="31">
        <v>0.83986928104575165</v>
      </c>
      <c r="DQ45" s="31">
        <v>0.78</v>
      </c>
      <c r="DR45" s="31">
        <v>0.73311897106109325</v>
      </c>
      <c r="DS45" s="31">
        <v>0.84931506849315064</v>
      </c>
      <c r="DT45" s="31">
        <v>0.85570469798657722</v>
      </c>
      <c r="DU45" s="31">
        <v>0.83617747440273038</v>
      </c>
      <c r="DV45" s="31">
        <v>0.81982572679769972</v>
      </c>
      <c r="DW45" s="31">
        <v>0.81270903010033446</v>
      </c>
      <c r="DX45" s="31">
        <v>0.76282051282051277</v>
      </c>
      <c r="DY45" s="31">
        <v>0.81569965870307171</v>
      </c>
      <c r="DZ45" s="31">
        <v>0.81418918918918914</v>
      </c>
      <c r="EA45" s="31">
        <v>0.79738562091503273</v>
      </c>
      <c r="EB45" s="31">
        <v>0.75320512820512819</v>
      </c>
      <c r="EC45" s="31">
        <v>0.80592105263157898</v>
      </c>
      <c r="ED45" s="31">
        <v>0.79456145608069251</v>
      </c>
      <c r="EE45" s="31">
        <v>0.8817567567567568</v>
      </c>
      <c r="EF45" s="31">
        <v>0.8546712802768166</v>
      </c>
      <c r="EG45" s="31">
        <v>0.8741721854304636</v>
      </c>
      <c r="EH45" s="31">
        <v>0.8354838709677419</v>
      </c>
      <c r="EI45" s="31">
        <v>0.8557377049180328</v>
      </c>
      <c r="EJ45" s="31">
        <v>0.89455782312925169</v>
      </c>
      <c r="EK45" s="31">
        <v>0.8929765886287625</v>
      </c>
      <c r="EL45" s="31">
        <v>0.86990803001540373</v>
      </c>
    </row>
    <row r="46" spans="2:142" x14ac:dyDescent="0.35">
      <c r="AL46" s="19" t="s">
        <v>100</v>
      </c>
      <c r="AM46" s="31">
        <v>0.71590909090909094</v>
      </c>
      <c r="AN46" s="31">
        <v>0.69918699186991873</v>
      </c>
      <c r="AO46" s="31">
        <v>0.77272727272727271</v>
      </c>
      <c r="AP46" s="31">
        <v>0.68560606060606055</v>
      </c>
      <c r="AQ46" s="31">
        <v>0.72348484848484851</v>
      </c>
      <c r="AR46" s="31">
        <v>0.69512195121951215</v>
      </c>
      <c r="AS46" s="31">
        <v>0.67886178861788615</v>
      </c>
      <c r="AT46" s="31">
        <v>0.71012828634779857</v>
      </c>
      <c r="AU46" s="31">
        <v>0.75645756457564572</v>
      </c>
      <c r="AV46" s="31">
        <v>0.7007575757575758</v>
      </c>
      <c r="AW46" s="31">
        <v>0.75276752767527677</v>
      </c>
      <c r="AX46" s="31">
        <v>0.76752767527675281</v>
      </c>
      <c r="AY46" s="31">
        <v>0.7232472324723247</v>
      </c>
      <c r="AZ46" s="31">
        <v>0.75378787878787878</v>
      </c>
      <c r="BA46" s="31">
        <v>0.73431734317343178</v>
      </c>
      <c r="BB46" s="31">
        <v>0.74126611395984099</v>
      </c>
      <c r="BC46" s="31">
        <v>0.73992673992673996</v>
      </c>
      <c r="BD46" s="31">
        <v>0.74169741697416969</v>
      </c>
      <c r="BE46" s="31">
        <v>0.76838235294117652</v>
      </c>
      <c r="BF46" s="31">
        <v>0.76838235294117652</v>
      </c>
      <c r="BG46" s="31">
        <v>0.76752767527675281</v>
      </c>
      <c r="BH46" s="31">
        <v>0.73431734317343178</v>
      </c>
      <c r="BI46" s="31">
        <v>0.80073800738007384</v>
      </c>
      <c r="BJ46" s="31">
        <v>0.76013884123050313</v>
      </c>
      <c r="BK46" s="31">
        <v>0.88571428571428568</v>
      </c>
      <c r="BL46" s="31">
        <v>0.76470588235294112</v>
      </c>
      <c r="BM46" s="31">
        <v>0.8902439024390244</v>
      </c>
      <c r="BN46" s="31">
        <v>0.91056910569105687</v>
      </c>
      <c r="BO46" s="31">
        <v>0.85657370517928288</v>
      </c>
      <c r="BP46" s="31">
        <v>0.76639344262295084</v>
      </c>
      <c r="BQ46" s="31">
        <v>0.87951807228915657</v>
      </c>
      <c r="BR46" s="31">
        <v>0.85053119946981404</v>
      </c>
      <c r="BS46" s="31">
        <v>0.93687707641196016</v>
      </c>
      <c r="BT46" s="31">
        <v>0.91869918699186992</v>
      </c>
      <c r="BU46" s="31">
        <v>0.94983277591973247</v>
      </c>
      <c r="BV46" s="31">
        <v>0.93493150684931503</v>
      </c>
      <c r="BW46" s="31">
        <v>0.94568690095846641</v>
      </c>
      <c r="BX46" s="31">
        <v>0.91699604743083007</v>
      </c>
      <c r="BY46" s="31">
        <v>0.90188679245283021</v>
      </c>
      <c r="BZ46" s="31">
        <v>0.92927289814500058</v>
      </c>
      <c r="CA46" s="31">
        <v>0.86604361370716509</v>
      </c>
      <c r="CB46" s="31">
        <v>0.91319444444444442</v>
      </c>
      <c r="CC46" s="31">
        <v>0.89215686274509809</v>
      </c>
      <c r="CD46" s="31">
        <v>0.85852090032154338</v>
      </c>
      <c r="CE46" s="31">
        <v>0.92476489028213171</v>
      </c>
      <c r="CF46" s="31">
        <v>0.9452054794520548</v>
      </c>
      <c r="CG46" s="31">
        <v>0.98412698412698407</v>
      </c>
      <c r="CH46" s="31">
        <v>0.91200188215420308</v>
      </c>
      <c r="CI46" s="31">
        <v>0.84105960264900659</v>
      </c>
      <c r="CJ46" s="31">
        <v>0.93421052631578949</v>
      </c>
      <c r="CK46" s="31">
        <v>0.79522184300341292</v>
      </c>
      <c r="CL46" s="31">
        <v>0.82876712328767121</v>
      </c>
      <c r="CM46" s="31">
        <v>0.84868421052631582</v>
      </c>
      <c r="CN46" s="31">
        <v>0.90789473684210531</v>
      </c>
      <c r="CO46" s="31">
        <v>0.88118811881188119</v>
      </c>
      <c r="CP46" s="31">
        <v>0.86243230877659749</v>
      </c>
      <c r="CQ46" s="31">
        <v>0.87108013937282225</v>
      </c>
      <c r="CR46" s="31">
        <v>0.8225255972696246</v>
      </c>
      <c r="CS46" s="31">
        <v>0.89619377162629754</v>
      </c>
      <c r="CT46" s="31">
        <v>0.86206896551724133</v>
      </c>
      <c r="CU46" s="31">
        <v>0.87197231833910038</v>
      </c>
      <c r="CV46" s="31">
        <v>0.82876712328767121</v>
      </c>
      <c r="CW46" s="31">
        <v>0.87017543859649127</v>
      </c>
      <c r="CX46" s="31">
        <v>0.86039762200132119</v>
      </c>
      <c r="CY46" s="31">
        <v>0.78490566037735854</v>
      </c>
      <c r="CZ46" s="31">
        <v>0.84083044982698962</v>
      </c>
      <c r="DA46" s="31">
        <v>0.78294573643410847</v>
      </c>
      <c r="DB46" s="31">
        <v>0.78378378378378377</v>
      </c>
      <c r="DC46" s="31">
        <v>0.80412371134020622</v>
      </c>
      <c r="DD46" s="31">
        <v>0.85664335664335667</v>
      </c>
      <c r="DE46" s="31">
        <v>0.82068965517241377</v>
      </c>
      <c r="DF46" s="31">
        <v>0.81056033622545953</v>
      </c>
      <c r="DG46" s="31">
        <v>0.71951219512195119</v>
      </c>
      <c r="DH46" s="31">
        <v>0.78125</v>
      </c>
      <c r="DI46" s="31">
        <v>0.71020408163265303</v>
      </c>
      <c r="DJ46" s="31">
        <v>0.71544715447154472</v>
      </c>
      <c r="DK46" s="31">
        <v>0.75098814229249011</v>
      </c>
      <c r="DL46" s="31">
        <v>0.80314960629921262</v>
      </c>
      <c r="DM46" s="31">
        <v>0.77165354330708658</v>
      </c>
      <c r="DN46" s="31">
        <v>0.75031496044641977</v>
      </c>
      <c r="DO46" s="31">
        <v>0.73076923076923073</v>
      </c>
      <c r="DP46" s="31">
        <v>0.73877551020408161</v>
      </c>
      <c r="DQ46" s="31">
        <v>0.69834710743801653</v>
      </c>
      <c r="DR46" s="31">
        <v>0.69456066945606698</v>
      </c>
      <c r="DS46" s="31">
        <v>0.69620253164556967</v>
      </c>
      <c r="DT46" s="31">
        <v>0.75203252032520329</v>
      </c>
      <c r="DU46" s="31">
        <v>0.72916666666666663</v>
      </c>
      <c r="DV46" s="31">
        <v>0.71997917664354794</v>
      </c>
      <c r="DW46" s="31">
        <v>0.64980544747081714</v>
      </c>
      <c r="DX46" s="31">
        <v>0.64772727272727271</v>
      </c>
      <c r="DY46" s="31">
        <v>0.64122137404580148</v>
      </c>
      <c r="DZ46" s="31">
        <v>0.63035019455252916</v>
      </c>
      <c r="EA46" s="31">
        <v>0.73828125</v>
      </c>
      <c r="EB46" s="31">
        <v>0.6742424242424242</v>
      </c>
      <c r="EC46" s="31">
        <v>0.69411764705882351</v>
      </c>
      <c r="ED46" s="31">
        <v>0.66796365858538109</v>
      </c>
      <c r="EE46" s="31">
        <v>0.60077519379844957</v>
      </c>
      <c r="EF46" s="31">
        <v>0.65758754863813229</v>
      </c>
      <c r="EG46" s="31">
        <v>0.5</v>
      </c>
      <c r="EH46" s="31">
        <v>0.5714285714285714</v>
      </c>
      <c r="EI46" s="31">
        <v>0.59160305343511455</v>
      </c>
      <c r="EJ46" s="31">
        <v>0.68846153846153846</v>
      </c>
      <c r="EK46" s="31">
        <v>0.63846153846153841</v>
      </c>
      <c r="EL46" s="31">
        <v>0.60690249203190638</v>
      </c>
    </row>
    <row r="47" spans="2:142" x14ac:dyDescent="0.35">
      <c r="AL47" s="19" t="s">
        <v>260</v>
      </c>
      <c r="AM47" s="31">
        <v>0.90599294947121034</v>
      </c>
      <c r="AN47" s="31">
        <v>0.85141509433962259</v>
      </c>
      <c r="AO47" s="31">
        <v>0.87559241706161139</v>
      </c>
      <c r="AP47" s="31">
        <v>0.90096618357487923</v>
      </c>
      <c r="AQ47" s="31">
        <v>0.85283893395133259</v>
      </c>
      <c r="AR47" s="31">
        <v>0.8375576036866359</v>
      </c>
      <c r="AS47" s="31">
        <v>0.81715575620767489</v>
      </c>
      <c r="AT47" s="31">
        <v>0.8630741340418524</v>
      </c>
      <c r="AU47" s="31">
        <v>0.89473684210526316</v>
      </c>
      <c r="AV47" s="31">
        <v>0.88665879574970485</v>
      </c>
      <c r="AW47" s="31">
        <v>0.9134146341463415</v>
      </c>
      <c r="AX47" s="31">
        <v>0.9242424242424242</v>
      </c>
      <c r="AY47" s="31">
        <v>0.88825541619156212</v>
      </c>
      <c r="AZ47" s="31">
        <v>0.89425287356321836</v>
      </c>
      <c r="BA47" s="31">
        <v>0.91791907514450866</v>
      </c>
      <c r="BB47" s="31">
        <v>0.90278286587757461</v>
      </c>
      <c r="BC47" s="31">
        <v>0.9119718309859155</v>
      </c>
      <c r="BD47" s="31">
        <v>0.90338164251207731</v>
      </c>
      <c r="BE47" s="31">
        <v>0.81117318435754193</v>
      </c>
      <c r="BF47" s="31">
        <v>0.88553459119496858</v>
      </c>
      <c r="BG47" s="31">
        <v>0.88771929824561402</v>
      </c>
      <c r="BH47" s="31">
        <v>0.91956782713085239</v>
      </c>
      <c r="BI47" s="31">
        <v>0.87914691943127965</v>
      </c>
      <c r="BJ47" s="31">
        <v>0.88549932769403561</v>
      </c>
      <c r="BK47" s="31">
        <v>0.79214195183776936</v>
      </c>
      <c r="BL47" s="31">
        <v>0.89975247524752477</v>
      </c>
      <c r="BM47" s="31">
        <v>0.7808041504539559</v>
      </c>
      <c r="BN47" s="31">
        <v>0.86604774535809015</v>
      </c>
      <c r="BO47" s="31">
        <v>0.86633663366336633</v>
      </c>
      <c r="BP47" s="31">
        <v>0.91586538461538458</v>
      </c>
      <c r="BQ47" s="31">
        <v>0.87439613526570048</v>
      </c>
      <c r="BR47" s="31">
        <v>0.85647778234882743</v>
      </c>
      <c r="BS47" s="31">
        <v>0.90648379052369077</v>
      </c>
      <c r="BT47" s="31">
        <v>0.84250000000000003</v>
      </c>
      <c r="BU47" s="31">
        <v>0.92812105926860022</v>
      </c>
      <c r="BV47" s="31">
        <v>0.94622279129321385</v>
      </c>
      <c r="BW47" s="31">
        <v>0.94139650872817959</v>
      </c>
      <c r="BX47" s="31">
        <v>0.9039900249376559</v>
      </c>
      <c r="BY47" s="31">
        <v>0.93357933579335795</v>
      </c>
      <c r="BZ47" s="31">
        <v>0.91461335864924265</v>
      </c>
      <c r="CA47" s="31">
        <v>0.90559440559440563</v>
      </c>
      <c r="CB47" s="31">
        <v>0.93603936039360391</v>
      </c>
      <c r="CC47" s="31">
        <v>0.88773148148148151</v>
      </c>
      <c r="CD47" s="31">
        <v>0.86306098964326816</v>
      </c>
      <c r="CE47" s="31">
        <v>0.90393518518518523</v>
      </c>
      <c r="CF47" s="31">
        <v>0.94364508393285373</v>
      </c>
      <c r="CG47" s="31">
        <v>0.95170789163722025</v>
      </c>
      <c r="CH47" s="31">
        <v>0.91310205683828849</v>
      </c>
      <c r="CI47" s="31">
        <v>0.88824214202561114</v>
      </c>
      <c r="CJ47" s="31">
        <v>0.87571921749136938</v>
      </c>
      <c r="CK47" s="31">
        <v>0.86956521739130432</v>
      </c>
      <c r="CL47" s="31">
        <v>0.88475390156062428</v>
      </c>
      <c r="CM47" s="31">
        <v>0.86911595866819746</v>
      </c>
      <c r="CN47" s="31">
        <v>0.92415402567094518</v>
      </c>
      <c r="CO47" s="31">
        <v>0.89611872146118721</v>
      </c>
      <c r="CP47" s="31">
        <v>0.88680988346703427</v>
      </c>
      <c r="CQ47" s="31">
        <v>0.87976878612716758</v>
      </c>
      <c r="CR47" s="31">
        <v>0.87385321100917435</v>
      </c>
      <c r="CS47" s="31">
        <v>0.86635404454865184</v>
      </c>
      <c r="CT47" s="31">
        <v>0.8666666666666667</v>
      </c>
      <c r="CU47" s="31">
        <v>0.88125727590221192</v>
      </c>
      <c r="CV47" s="31">
        <v>0.87731481481481477</v>
      </c>
      <c r="CW47" s="31">
        <v>0.89639115250291035</v>
      </c>
      <c r="CX47" s="31">
        <v>0.87737227879594248</v>
      </c>
      <c r="CY47" s="31">
        <v>0.85368663594470051</v>
      </c>
      <c r="CZ47" s="31">
        <v>0.88452380952380949</v>
      </c>
      <c r="DA47" s="31">
        <v>0.83144796380090502</v>
      </c>
      <c r="DB47" s="31">
        <v>0.85780885780885785</v>
      </c>
      <c r="DC47" s="31">
        <v>0.86751152073732718</v>
      </c>
      <c r="DD47" s="31">
        <v>0.88745603751465418</v>
      </c>
      <c r="DE47" s="31">
        <v>0.89731621936989503</v>
      </c>
      <c r="DF47" s="31">
        <v>0.86853586352859258</v>
      </c>
      <c r="DG47" s="31">
        <v>0.82406356413166859</v>
      </c>
      <c r="DH47" s="31">
        <v>0.81081081081081086</v>
      </c>
      <c r="DI47" s="31">
        <v>0.81171067738231917</v>
      </c>
      <c r="DJ47" s="31">
        <v>0.79908151549942597</v>
      </c>
      <c r="DK47" s="31">
        <v>0.81452513966480444</v>
      </c>
      <c r="DL47" s="31">
        <v>0.83351955307262571</v>
      </c>
      <c r="DM47" s="31">
        <v>0.79664804469273742</v>
      </c>
      <c r="DN47" s="31">
        <v>0.81290847217919882</v>
      </c>
      <c r="DO47" s="31">
        <v>0.85146198830409359</v>
      </c>
      <c r="DP47" s="31">
        <v>0.86304604486422665</v>
      </c>
      <c r="DQ47" s="31">
        <v>0.82485207100591718</v>
      </c>
      <c r="DR47" s="31">
        <v>0.80473372781065089</v>
      </c>
      <c r="DS47" s="31">
        <v>0.8573099415204678</v>
      </c>
      <c r="DT47" s="31">
        <v>0.86267605633802813</v>
      </c>
      <c r="DU47" s="31">
        <v>0.86170212765957444</v>
      </c>
      <c r="DV47" s="31">
        <v>0.84654027964327994</v>
      </c>
      <c r="DW47" s="31">
        <v>0.85763097949886102</v>
      </c>
      <c r="DX47" s="31">
        <v>0.81839622641509435</v>
      </c>
      <c r="DY47" s="31">
        <v>0.88493475682087785</v>
      </c>
      <c r="DZ47" s="31">
        <v>0.85878300803673935</v>
      </c>
      <c r="EA47" s="31">
        <v>0.88612099644128117</v>
      </c>
      <c r="EB47" s="31">
        <v>0.88625592417061616</v>
      </c>
      <c r="EC47" s="31">
        <v>0.8786464410735122</v>
      </c>
      <c r="ED47" s="31">
        <v>0.86725261892242589</v>
      </c>
      <c r="EE47" s="31">
        <v>0.89053591790193842</v>
      </c>
      <c r="EF47" s="31">
        <v>0.88221709006928406</v>
      </c>
      <c r="EG47" s="31">
        <v>0.87427912341407155</v>
      </c>
      <c r="EH47" s="31">
        <v>0.8327566320645905</v>
      </c>
      <c r="EI47" s="31">
        <v>0.88825541619156212</v>
      </c>
      <c r="EJ47" s="31">
        <v>0.89678899082568808</v>
      </c>
      <c r="EK47" s="31">
        <v>0.90763968072976053</v>
      </c>
      <c r="EL47" s="31">
        <v>0.8817818358852707</v>
      </c>
    </row>
    <row r="48" spans="2:142" x14ac:dyDescent="0.35">
      <c r="AL48" s="19" t="s">
        <v>101</v>
      </c>
      <c r="AM48" s="31">
        <v>0.86832061068702293</v>
      </c>
      <c r="AN48" s="31">
        <v>0.82538167938931295</v>
      </c>
      <c r="AO48" s="31">
        <v>0.85400763358778631</v>
      </c>
      <c r="AP48" s="31">
        <v>0.88454198473282442</v>
      </c>
      <c r="AQ48" s="31">
        <v>0.83015267175572516</v>
      </c>
      <c r="AR48" s="31">
        <v>0.81202290076335881</v>
      </c>
      <c r="AS48" s="31">
        <v>0.81202290076335881</v>
      </c>
      <c r="AT48" s="31">
        <v>0.84092148309705561</v>
      </c>
      <c r="AU48" s="31">
        <v>0.88740458015267176</v>
      </c>
      <c r="AV48" s="31">
        <v>0.88835877862595425</v>
      </c>
      <c r="AW48" s="31">
        <v>0.88454198473282442</v>
      </c>
      <c r="AX48" s="31">
        <v>0.90839694656488545</v>
      </c>
      <c r="AY48" s="31">
        <v>0.84160305343511455</v>
      </c>
      <c r="AZ48" s="31">
        <v>0.84828244274809161</v>
      </c>
      <c r="BA48" s="31">
        <v>0.85687022900763354</v>
      </c>
      <c r="BB48" s="31">
        <v>0.87363685932388235</v>
      </c>
      <c r="BC48" s="31">
        <v>0.84920634920634919</v>
      </c>
      <c r="BD48" s="31">
        <v>0.89217557251908397</v>
      </c>
      <c r="BE48" s="31">
        <v>0.84920634920634919</v>
      </c>
      <c r="BF48" s="31">
        <v>0.86904761904761907</v>
      </c>
      <c r="BG48" s="31">
        <v>0.88206144697720512</v>
      </c>
      <c r="BH48" s="31">
        <v>0.89408396946564883</v>
      </c>
      <c r="BI48" s="31">
        <v>0.89217557251908397</v>
      </c>
      <c r="BJ48" s="31">
        <v>0.87542241127733433</v>
      </c>
      <c r="BK48" s="31">
        <v>0.8177290836653387</v>
      </c>
      <c r="BL48" s="31">
        <v>0.86111111111111116</v>
      </c>
      <c r="BM48" s="31">
        <v>0.8177290836653387</v>
      </c>
      <c r="BN48" s="31">
        <v>0.8177290836653387</v>
      </c>
      <c r="BO48" s="31">
        <v>0.8177290836653387</v>
      </c>
      <c r="BP48" s="31">
        <v>0.81312127236580511</v>
      </c>
      <c r="BQ48" s="31">
        <v>0.80297029702970302</v>
      </c>
      <c r="BR48" s="31">
        <v>0.82115985930971047</v>
      </c>
      <c r="BS48" s="31">
        <v>0.90537848605577687</v>
      </c>
      <c r="BT48" s="31">
        <v>0.80079681274900394</v>
      </c>
      <c r="BU48" s="31">
        <v>0.90537848605577687</v>
      </c>
      <c r="BV48" s="31">
        <v>0.90537848605577687</v>
      </c>
      <c r="BW48" s="31">
        <v>0.90537848605577687</v>
      </c>
      <c r="BX48" s="31">
        <v>0.82071713147410363</v>
      </c>
      <c r="BY48" s="31">
        <v>0.83864541832669326</v>
      </c>
      <c r="BZ48" s="31">
        <v>0.86881047239612974</v>
      </c>
      <c r="CA48" s="31">
        <v>0.84180249280920427</v>
      </c>
      <c r="CB48" s="31">
        <v>0.82270916334661359</v>
      </c>
      <c r="CC48" s="31">
        <v>0.84180249280920427</v>
      </c>
      <c r="CD48" s="31">
        <v>0.84180249280920427</v>
      </c>
      <c r="CE48" s="31">
        <v>0.82600382409177819</v>
      </c>
      <c r="CF48" s="31">
        <v>0.80077369439071566</v>
      </c>
      <c r="CG48" s="31">
        <v>0.75433526011560692</v>
      </c>
      <c r="CH48" s="31">
        <v>0.81846134576747542</v>
      </c>
      <c r="CI48" s="31">
        <v>0.78282828282828287</v>
      </c>
      <c r="CJ48" s="31">
        <v>0.83843212237093689</v>
      </c>
      <c r="CK48" s="31">
        <v>0.81269510926118627</v>
      </c>
      <c r="CL48" s="31">
        <v>0.81997918834547345</v>
      </c>
      <c r="CM48" s="31">
        <v>0.79515640766902118</v>
      </c>
      <c r="CN48" s="31">
        <v>0.79437439379243457</v>
      </c>
      <c r="CO48" s="31">
        <v>0.74519230769230771</v>
      </c>
      <c r="CP48" s="31">
        <v>0.79837968742280629</v>
      </c>
      <c r="CQ48" s="31">
        <v>0.85261003070624364</v>
      </c>
      <c r="CR48" s="31">
        <v>0.81893860561914678</v>
      </c>
      <c r="CS48" s="31">
        <v>0.84008097165991902</v>
      </c>
      <c r="CT48" s="31">
        <v>0.82186234817813764</v>
      </c>
      <c r="CU48" s="31">
        <v>0.83299999999999996</v>
      </c>
      <c r="CV48" s="31">
        <v>0.8297213622291022</v>
      </c>
      <c r="CW48" s="31">
        <v>0.85065590312815342</v>
      </c>
      <c r="CX48" s="31">
        <v>0.83526703164581473</v>
      </c>
      <c r="CY48" s="31">
        <v>0.76548223350253808</v>
      </c>
      <c r="CZ48" s="31">
        <v>0.79959514170040491</v>
      </c>
      <c r="DA48" s="31">
        <v>0.7572916666666667</v>
      </c>
      <c r="DB48" s="31">
        <v>0.72812500000000002</v>
      </c>
      <c r="DC48" s="31">
        <v>0.80586450960566225</v>
      </c>
      <c r="DD48" s="31">
        <v>0.80261832829808666</v>
      </c>
      <c r="DE48" s="31">
        <v>0.79435483870967738</v>
      </c>
      <c r="DF48" s="31">
        <v>0.77904738835471932</v>
      </c>
      <c r="DG48" s="31">
        <v>0.78413654618473894</v>
      </c>
      <c r="DH48" s="31">
        <v>0.734375</v>
      </c>
      <c r="DI48" s="31">
        <v>0.78140960163432072</v>
      </c>
      <c r="DJ48" s="31">
        <v>0.7592592592592593</v>
      </c>
      <c r="DK48" s="31">
        <v>0.78413654618473894</v>
      </c>
      <c r="DL48" s="31">
        <v>0.75204918032786883</v>
      </c>
      <c r="DM48" s="31">
        <v>0.76767676767676762</v>
      </c>
      <c r="DN48" s="31">
        <v>0.76614898589538505</v>
      </c>
      <c r="DO48" s="31">
        <v>0.76374745417515277</v>
      </c>
      <c r="DP48" s="31">
        <v>0.77960865087538622</v>
      </c>
      <c r="DQ48" s="31">
        <v>0.7528089887640449</v>
      </c>
      <c r="DR48" s="31">
        <v>0.7134083930399181</v>
      </c>
      <c r="DS48" s="31">
        <v>0.8014256619144603</v>
      </c>
      <c r="DT48" s="31">
        <v>0.79196704428424303</v>
      </c>
      <c r="DU48" s="31">
        <v>0.80549898167006106</v>
      </c>
      <c r="DV48" s="31">
        <v>0.77263788210332385</v>
      </c>
      <c r="DW48" s="31">
        <v>0.71734693877551026</v>
      </c>
      <c r="DX48" s="31">
        <v>0.72736520854526954</v>
      </c>
      <c r="DY48" s="31">
        <v>0.72420837589376919</v>
      </c>
      <c r="DZ48" s="31">
        <v>0.71530612244897962</v>
      </c>
      <c r="EA48" s="31">
        <v>0.73505154639175263</v>
      </c>
      <c r="EB48" s="31">
        <v>0.73807106598984773</v>
      </c>
      <c r="EC48" s="31">
        <v>0.74795918367346936</v>
      </c>
      <c r="ED48" s="31">
        <v>0.72932977738837124</v>
      </c>
      <c r="EE48" s="31">
        <v>0.72580645161290325</v>
      </c>
      <c r="EF48" s="31">
        <v>0.69795918367346943</v>
      </c>
      <c r="EG48" s="31">
        <v>0.70264765784114058</v>
      </c>
      <c r="EH48" s="31">
        <v>0.63610315186246413</v>
      </c>
      <c r="EI48" s="31">
        <v>0.73053892215568861</v>
      </c>
      <c r="EJ48" s="31">
        <v>0.72318692543411645</v>
      </c>
      <c r="EK48" s="31">
        <v>0.73514602215508562</v>
      </c>
      <c r="EL48" s="31">
        <v>0.70734118781926691</v>
      </c>
    </row>
    <row r="49" spans="38:142" x14ac:dyDescent="0.35">
      <c r="AL49" s="19" t="s">
        <v>102</v>
      </c>
      <c r="AM49" s="31">
        <v>0.84474885844748859</v>
      </c>
      <c r="AN49" s="31">
        <v>0.76712328767123283</v>
      </c>
      <c r="AO49" s="31">
        <v>0.86301369863013699</v>
      </c>
      <c r="AP49" s="31">
        <v>0.84931506849315064</v>
      </c>
      <c r="AQ49" s="31">
        <v>0.85388127853881279</v>
      </c>
      <c r="AR49" s="31">
        <v>0.84474885844748859</v>
      </c>
      <c r="AS49" s="31">
        <v>0.84931506849315064</v>
      </c>
      <c r="AT49" s="31">
        <v>0.83887801696020869</v>
      </c>
      <c r="AU49" s="31">
        <v>0.94977168949771684</v>
      </c>
      <c r="AV49" s="31">
        <v>0.84474885844748859</v>
      </c>
      <c r="AW49" s="31">
        <v>0.9817351598173516</v>
      </c>
      <c r="AX49" s="31">
        <v>0.95890410958904104</v>
      </c>
      <c r="AY49" s="31">
        <v>0.95890410958904104</v>
      </c>
      <c r="AZ49" s="31">
        <v>0.9178082191780822</v>
      </c>
      <c r="BA49" s="31">
        <v>0.9360730593607306</v>
      </c>
      <c r="BB49" s="31">
        <v>0.93542074363992178</v>
      </c>
      <c r="BC49" s="31">
        <v>0.94977168949771684</v>
      </c>
      <c r="BD49" s="31">
        <v>0.9634703196347032</v>
      </c>
      <c r="BE49" s="31">
        <v>0.9269406392694064</v>
      </c>
      <c r="BF49" s="31">
        <v>0.9452054794520548</v>
      </c>
      <c r="BG49" s="31">
        <v>0.954337899543379</v>
      </c>
      <c r="BH49" s="31">
        <v>0.9726027397260274</v>
      </c>
      <c r="BI49" s="31">
        <v>0.95890410958904104</v>
      </c>
      <c r="BJ49" s="31">
        <v>0.95303326810176114</v>
      </c>
      <c r="BK49" s="31">
        <v>0.82191780821917804</v>
      </c>
      <c r="BL49" s="31">
        <v>0.95890410958904104</v>
      </c>
      <c r="BM49" s="31">
        <v>0.80952380952380953</v>
      </c>
      <c r="BN49" s="31">
        <v>0.83549783549783552</v>
      </c>
      <c r="BO49" s="31">
        <v>0.87214611872146119</v>
      </c>
      <c r="BP49" s="31">
        <v>0.9452054794520548</v>
      </c>
      <c r="BQ49" s="31">
        <v>0.92237442922374424</v>
      </c>
      <c r="BR49" s="31">
        <v>0.88079565574673191</v>
      </c>
      <c r="BS49" s="31">
        <v>0.84188034188034189</v>
      </c>
      <c r="BT49" s="31">
        <v>0.93886462882096067</v>
      </c>
      <c r="BU49" s="31">
        <v>0.93162393162393164</v>
      </c>
      <c r="BV49" s="31">
        <v>0.85470085470085466</v>
      </c>
      <c r="BW49" s="31">
        <v>0.91845493562231761</v>
      </c>
      <c r="BX49" s="31">
        <v>0.93073593073593075</v>
      </c>
      <c r="BY49" s="31">
        <v>0.91416309012875541</v>
      </c>
      <c r="BZ49" s="31">
        <v>0.90434624478758452</v>
      </c>
      <c r="CA49" s="31">
        <v>0.94222222222222218</v>
      </c>
      <c r="CB49" s="31">
        <v>0.88235294117647056</v>
      </c>
      <c r="CC49" s="31">
        <v>0.87394957983193278</v>
      </c>
      <c r="CD49" s="31">
        <v>0.86554621848739499</v>
      </c>
      <c r="CE49" s="31">
        <v>0.87815126050420167</v>
      </c>
      <c r="CF49" s="31">
        <v>0.83613445378151263</v>
      </c>
      <c r="CG49" s="31">
        <v>0.80252100840336138</v>
      </c>
      <c r="CH49" s="31">
        <v>0.86869681205815652</v>
      </c>
      <c r="CI49" s="31">
        <v>0.96888888888888891</v>
      </c>
      <c r="CJ49" s="31">
        <v>0.90987124463519309</v>
      </c>
      <c r="CK49" s="31">
        <v>0.97777777777777775</v>
      </c>
      <c r="CL49" s="31">
        <v>1</v>
      </c>
      <c r="CM49" s="31">
        <v>0.94594594594594594</v>
      </c>
      <c r="CN49" s="31">
        <v>0.87391304347826082</v>
      </c>
      <c r="CO49" s="31">
        <v>0.94392523364485981</v>
      </c>
      <c r="CP49" s="31">
        <v>0.94576030491013241</v>
      </c>
      <c r="CQ49" s="31">
        <v>0.95067264573991028</v>
      </c>
      <c r="CR49" s="31">
        <v>0.96506550218340614</v>
      </c>
      <c r="CS49" s="31">
        <v>0.86974789915966388</v>
      </c>
      <c r="CT49" s="31">
        <v>0.7857142857142857</v>
      </c>
      <c r="CU49" s="31">
        <v>0.87665198237885467</v>
      </c>
      <c r="CV49" s="31">
        <v>0.93965517241379315</v>
      </c>
      <c r="CW49" s="31">
        <v>0.90517241379310343</v>
      </c>
      <c r="CX49" s="31">
        <v>0.89895427162614527</v>
      </c>
      <c r="CY49" s="31">
        <v>0.90707964601769908</v>
      </c>
      <c r="CZ49" s="31">
        <v>0.93777777777777782</v>
      </c>
      <c r="DA49" s="31">
        <v>0.88495575221238942</v>
      </c>
      <c r="DB49" s="31">
        <v>0.87068965517241381</v>
      </c>
      <c r="DC49" s="31">
        <v>0.90948275862068961</v>
      </c>
      <c r="DD49" s="31">
        <v>0.95495495495495497</v>
      </c>
      <c r="DE49" s="31">
        <v>0.91596638655462181</v>
      </c>
      <c r="DF49" s="31">
        <v>0.91155813304436373</v>
      </c>
      <c r="DG49" s="31">
        <v>0.86637931034482762</v>
      </c>
      <c r="DH49" s="31">
        <v>0.875</v>
      </c>
      <c r="DI49" s="31">
        <v>0.80172413793103448</v>
      </c>
      <c r="DJ49" s="31">
        <v>0.80603448275862066</v>
      </c>
      <c r="DK49" s="31">
        <v>0.89224137931034486</v>
      </c>
      <c r="DL49" s="31">
        <v>0.90517241379310343</v>
      </c>
      <c r="DM49" s="31">
        <v>0.84482758620689657</v>
      </c>
      <c r="DN49" s="31">
        <v>0.85591133004926123</v>
      </c>
      <c r="DO49" s="31">
        <v>0.6681034482758621</v>
      </c>
      <c r="DP49" s="31">
        <v>0.80172413793103448</v>
      </c>
      <c r="DQ49" s="31">
        <v>0.67672413793103448</v>
      </c>
      <c r="DR49" s="31">
        <v>0.7068965517241379</v>
      </c>
      <c r="DS49" s="31">
        <v>0.74568965517241381</v>
      </c>
      <c r="DT49" s="31">
        <v>0.76293103448275867</v>
      </c>
      <c r="DU49" s="31">
        <v>0.79741379310344829</v>
      </c>
      <c r="DV49" s="31">
        <v>0.73706896551724133</v>
      </c>
      <c r="DW49" s="31">
        <v>0.78017241379310343</v>
      </c>
      <c r="DX49" s="31">
        <v>0.77155172413793105</v>
      </c>
      <c r="DY49" s="31">
        <v>0.81034482758620685</v>
      </c>
      <c r="DZ49" s="31">
        <v>0.81034482758620685</v>
      </c>
      <c r="EA49" s="31">
        <v>0.74568965517241381</v>
      </c>
      <c r="EB49" s="31">
        <v>0.7931034482758621</v>
      </c>
      <c r="EC49" s="31">
        <v>0.77586206896551724</v>
      </c>
      <c r="ED49" s="31">
        <v>0.78386699507389146</v>
      </c>
      <c r="EE49" s="31">
        <v>0.92018779342723001</v>
      </c>
      <c r="EF49" s="31">
        <v>0.83620689655172409</v>
      </c>
      <c r="EG49" s="31">
        <v>0.84976525821596249</v>
      </c>
      <c r="EH49" s="31">
        <v>0.85915492957746475</v>
      </c>
      <c r="EI49" s="31">
        <v>0.9061032863849765</v>
      </c>
      <c r="EJ49" s="31">
        <v>0.8318965517241379</v>
      </c>
      <c r="EK49" s="31">
        <v>0.8318965517241379</v>
      </c>
      <c r="EL49" s="31">
        <v>0.86217303822937619</v>
      </c>
    </row>
    <row r="50" spans="38:142" x14ac:dyDescent="0.35">
      <c r="AL50" s="19" t="s">
        <v>103</v>
      </c>
      <c r="AM50" s="31">
        <v>0.94403892944038925</v>
      </c>
      <c r="AN50" s="31">
        <v>0.88536585365853659</v>
      </c>
      <c r="AO50" s="31">
        <v>0.94403892944038925</v>
      </c>
      <c r="AP50" s="31">
        <v>0.92028985507246375</v>
      </c>
      <c r="AQ50" s="31">
        <v>0.91463414634146345</v>
      </c>
      <c r="AR50" s="31">
        <v>0.93658536585365859</v>
      </c>
      <c r="AS50" s="31">
        <v>0.89268292682926831</v>
      </c>
      <c r="AT50" s="31">
        <v>0.91966228666230987</v>
      </c>
      <c r="AU50" s="31">
        <v>0.89346246973365617</v>
      </c>
      <c r="AV50" s="31">
        <v>0.9563106796116505</v>
      </c>
      <c r="AW50" s="31">
        <v>0.92457420924574207</v>
      </c>
      <c r="AX50" s="31">
        <v>0.8978102189781022</v>
      </c>
      <c r="AY50" s="31">
        <v>0.90799031476997583</v>
      </c>
      <c r="AZ50" s="31">
        <v>1</v>
      </c>
      <c r="BA50" s="31">
        <v>0.94444444444444442</v>
      </c>
      <c r="BB50" s="31">
        <v>0.93208461954051025</v>
      </c>
      <c r="BC50" s="31">
        <v>0.93462469733656173</v>
      </c>
      <c r="BD50" s="31">
        <v>0.94417475728155342</v>
      </c>
      <c r="BE50" s="31">
        <v>0.89215686274509809</v>
      </c>
      <c r="BF50" s="31">
        <v>0.91421568627450978</v>
      </c>
      <c r="BG50" s="31">
        <v>0.95377128953771284</v>
      </c>
      <c r="BH50" s="31">
        <v>0.98305084745762716</v>
      </c>
      <c r="BI50" s="31">
        <v>0.95133819951338194</v>
      </c>
      <c r="BJ50" s="31">
        <v>0.9390474771637779</v>
      </c>
      <c r="BK50" s="31">
        <v>0.88148148148148153</v>
      </c>
      <c r="BL50" s="31">
        <v>0.93857493857493857</v>
      </c>
      <c r="BM50" s="31">
        <v>0.83123425692695219</v>
      </c>
      <c r="BN50" s="31">
        <v>0.83375314861460958</v>
      </c>
      <c r="BO50" s="31">
        <v>0.93203883495145634</v>
      </c>
      <c r="BP50" s="31">
        <v>0.99019607843137258</v>
      </c>
      <c r="BQ50" s="31">
        <v>0.95588235294117652</v>
      </c>
      <c r="BR50" s="31">
        <v>0.90902301313171241</v>
      </c>
      <c r="BS50" s="31">
        <v>0.85342789598108748</v>
      </c>
      <c r="BT50" s="31">
        <v>0.8589420654911839</v>
      </c>
      <c r="BU50" s="31">
        <v>0.8810679611650486</v>
      </c>
      <c r="BV50" s="31">
        <v>0.86556603773584906</v>
      </c>
      <c r="BW50" s="31">
        <v>0.87559808612440193</v>
      </c>
      <c r="BX50" s="31">
        <v>0.89420654911838793</v>
      </c>
      <c r="BY50" s="31">
        <v>0.8779342723004695</v>
      </c>
      <c r="BZ50" s="31">
        <v>0.87239183827377553</v>
      </c>
      <c r="CA50" s="31">
        <v>0.85583524027459956</v>
      </c>
      <c r="CB50" s="31">
        <v>0.87126436781609196</v>
      </c>
      <c r="CC50" s="31">
        <v>0.81857451403887693</v>
      </c>
      <c r="CD50" s="31">
        <v>0.8301075268817204</v>
      </c>
      <c r="CE50" s="31">
        <v>0.87671232876712324</v>
      </c>
      <c r="CF50" s="31">
        <v>0.8781609195402299</v>
      </c>
      <c r="CG50" s="31">
        <v>0.86696230598669621</v>
      </c>
      <c r="CH50" s="31">
        <v>0.85680245761504825</v>
      </c>
      <c r="CI50" s="31">
        <v>0.88444444444444448</v>
      </c>
      <c r="CJ50" s="31">
        <v>0.86725663716814161</v>
      </c>
      <c r="CK50" s="31">
        <v>0.8832951945080092</v>
      </c>
      <c r="CL50" s="31">
        <v>0.87443946188340804</v>
      </c>
      <c r="CM50" s="31">
        <v>0.89277899343544853</v>
      </c>
      <c r="CN50" s="31">
        <v>0.88470066518847001</v>
      </c>
      <c r="CO50" s="31">
        <v>0.88840262582056895</v>
      </c>
      <c r="CP50" s="31">
        <v>0.88218828892121304</v>
      </c>
      <c r="CQ50" s="31">
        <v>0.88288288288288286</v>
      </c>
      <c r="CR50" s="31">
        <v>0.88300220750551872</v>
      </c>
      <c r="CS50" s="31">
        <v>0.83936651583710409</v>
      </c>
      <c r="CT50" s="31">
        <v>0.85011185682326618</v>
      </c>
      <c r="CU50" s="31">
        <v>0.91818181818181821</v>
      </c>
      <c r="CV50" s="31">
        <v>0.9035874439461884</v>
      </c>
      <c r="CW50" s="31">
        <v>0.90929705215419498</v>
      </c>
      <c r="CX50" s="31">
        <v>0.88377568247585336</v>
      </c>
      <c r="CY50" s="31">
        <v>0.91592920353982299</v>
      </c>
      <c r="CZ50" s="31">
        <v>0.87168141592920356</v>
      </c>
      <c r="DA50" s="31">
        <v>0.91390728476821192</v>
      </c>
      <c r="DB50" s="31">
        <v>0.93095768374164811</v>
      </c>
      <c r="DC50" s="31">
        <v>0.91150442477876104</v>
      </c>
      <c r="DD50" s="31">
        <v>0.90888888888888886</v>
      </c>
      <c r="DE50" s="31">
        <v>0.89601769911504425</v>
      </c>
      <c r="DF50" s="31">
        <v>0.90698380010879731</v>
      </c>
      <c r="DG50" s="31">
        <v>0.86504424778761058</v>
      </c>
      <c r="DH50" s="31">
        <v>0.9308035714285714</v>
      </c>
      <c r="DI50" s="31">
        <v>0.82964601769911506</v>
      </c>
      <c r="DJ50" s="31">
        <v>0.85746606334841624</v>
      </c>
      <c r="DK50" s="31">
        <v>0.90486725663716816</v>
      </c>
      <c r="DL50" s="31">
        <v>0.8915929203539823</v>
      </c>
      <c r="DM50" s="31">
        <v>0.90044247787610621</v>
      </c>
      <c r="DN50" s="31">
        <v>0.88283750787585291</v>
      </c>
      <c r="DO50" s="31">
        <v>0.85981308411214952</v>
      </c>
      <c r="DP50" s="31">
        <v>0.87074829931972786</v>
      </c>
      <c r="DQ50" s="31">
        <v>0.83179723502304148</v>
      </c>
      <c r="DR50" s="31">
        <v>0.87410926365795727</v>
      </c>
      <c r="DS50" s="31">
        <v>0.89449541284403666</v>
      </c>
      <c r="DT50" s="31">
        <v>0.87443946188340804</v>
      </c>
      <c r="DU50" s="31">
        <v>0.84684684684684686</v>
      </c>
      <c r="DV50" s="31">
        <v>0.86460708624102411</v>
      </c>
      <c r="DW50" s="31">
        <v>0.86214953271028039</v>
      </c>
      <c r="DX50" s="31">
        <v>0.892018779342723</v>
      </c>
      <c r="DY50" s="31">
        <v>0.84813084112149528</v>
      </c>
      <c r="DZ50" s="31">
        <v>0.82004555808656032</v>
      </c>
      <c r="EA50" s="31">
        <v>0.84686774941995357</v>
      </c>
      <c r="EB50" s="31">
        <v>0.86529680365296802</v>
      </c>
      <c r="EC50" s="31">
        <v>0.86498855835240274</v>
      </c>
      <c r="ED50" s="31">
        <v>0.85707111752662613</v>
      </c>
      <c r="EE50" s="31">
        <v>0.83555555555555561</v>
      </c>
      <c r="EF50" s="31">
        <v>0.87962962962962965</v>
      </c>
      <c r="EG50" s="31">
        <v>0.82432432432432434</v>
      </c>
      <c r="EH50" s="31">
        <v>0.84054669703872442</v>
      </c>
      <c r="EI50" s="31">
        <v>0.88372093023255816</v>
      </c>
      <c r="EJ50" s="31">
        <v>0.85879629629629628</v>
      </c>
      <c r="EK50" s="31">
        <v>0.86836027713625863</v>
      </c>
      <c r="EL50" s="31">
        <v>0.85584767288762098</v>
      </c>
    </row>
    <row r="51" spans="38:142" x14ac:dyDescent="0.35">
      <c r="AL51" s="19" t="s">
        <v>104</v>
      </c>
      <c r="AM51" s="31">
        <v>0.94466403162055335</v>
      </c>
      <c r="AN51" s="31">
        <v>0.91616766467065869</v>
      </c>
      <c r="AO51" s="31">
        <v>0.9782178217821782</v>
      </c>
      <c r="AP51" s="31">
        <v>0.91960784313725485</v>
      </c>
      <c r="AQ51" s="31">
        <v>0.9508840864440079</v>
      </c>
      <c r="AR51" s="31">
        <v>0.96007984031936133</v>
      </c>
      <c r="AS51" s="31">
        <v>0.94610778443113774</v>
      </c>
      <c r="AT51" s="31">
        <v>0.94510415320073604</v>
      </c>
      <c r="AU51" s="31">
        <v>0.97405189620758481</v>
      </c>
      <c r="AV51" s="31">
        <v>0.95445544554455441</v>
      </c>
      <c r="AW51" s="31">
        <v>0.9021956087824351</v>
      </c>
      <c r="AX51" s="31">
        <v>0.9141716566866267</v>
      </c>
      <c r="AY51" s="31">
        <v>0.9125248508946322</v>
      </c>
      <c r="AZ51" s="31">
        <v>0.95719844357976658</v>
      </c>
      <c r="BA51" s="31">
        <v>0.95677799607072689</v>
      </c>
      <c r="BB51" s="31">
        <v>0.93876798539518957</v>
      </c>
      <c r="BC51" s="31">
        <v>0.93957115009746583</v>
      </c>
      <c r="BD51" s="31">
        <v>0.94411177644710575</v>
      </c>
      <c r="BE51" s="31">
        <v>0.92307692307692313</v>
      </c>
      <c r="BF51" s="31">
        <v>0.90890688259109309</v>
      </c>
      <c r="BG51" s="31">
        <v>0.90891472868217049</v>
      </c>
      <c r="BH51" s="31">
        <v>0.94011976047904189</v>
      </c>
      <c r="BI51" s="31">
        <v>0.93641618497109824</v>
      </c>
      <c r="BJ51" s="31">
        <v>0.92873105804927125</v>
      </c>
      <c r="BK51" s="31">
        <v>0.76518218623481782</v>
      </c>
      <c r="BL51" s="31">
        <v>0.89676113360323884</v>
      </c>
      <c r="BM51" s="31">
        <v>0.81376518218623484</v>
      </c>
      <c r="BN51" s="31">
        <v>0.87449392712550611</v>
      </c>
      <c r="BO51" s="31">
        <v>0.8663967611336032</v>
      </c>
      <c r="BP51" s="31">
        <v>0.90688259109311742</v>
      </c>
      <c r="BQ51" s="31">
        <v>0.92307692307692313</v>
      </c>
      <c r="BR51" s="31">
        <v>0.86379410063620587</v>
      </c>
      <c r="BS51" s="31">
        <v>0.87651821862348178</v>
      </c>
      <c r="BT51" s="31">
        <v>0.87449392712550611</v>
      </c>
      <c r="BU51" s="31">
        <v>0.8663967611336032</v>
      </c>
      <c r="BV51" s="31">
        <v>0.89878542510121462</v>
      </c>
      <c r="BW51" s="31">
        <v>0.90080971659919029</v>
      </c>
      <c r="BX51" s="31">
        <v>0.90283400809716596</v>
      </c>
      <c r="BY51" s="31">
        <v>0.9251012145748988</v>
      </c>
      <c r="BZ51" s="31">
        <v>0.89213418160786584</v>
      </c>
      <c r="CA51" s="31">
        <v>0.89546351084812625</v>
      </c>
      <c r="CB51" s="31">
        <v>0.91295546558704455</v>
      </c>
      <c r="CC51" s="31">
        <v>0.90873015873015872</v>
      </c>
      <c r="CD51" s="31">
        <v>0.90138067061143989</v>
      </c>
      <c r="CE51" s="31">
        <v>0.90711462450592883</v>
      </c>
      <c r="CF51" s="31">
        <v>0.94331983805668018</v>
      </c>
      <c r="CG51" s="31">
        <v>0.93307086614173229</v>
      </c>
      <c r="CH51" s="31">
        <v>0.91457644778301594</v>
      </c>
      <c r="CI51" s="31">
        <v>0.87179487179487181</v>
      </c>
      <c r="CJ51" s="31">
        <v>0.93096646942800787</v>
      </c>
      <c r="CK51" s="31">
        <v>0.86390532544378695</v>
      </c>
      <c r="CL51" s="31">
        <v>0.87747035573122534</v>
      </c>
      <c r="CM51" s="31">
        <v>0.89940828402366868</v>
      </c>
      <c r="CN51" s="31">
        <v>0.91650099403578533</v>
      </c>
      <c r="CO51" s="31">
        <v>0.9191321499013807</v>
      </c>
      <c r="CP51" s="31">
        <v>0.89702549290838962</v>
      </c>
      <c r="CQ51" s="31">
        <v>0.87951807228915657</v>
      </c>
      <c r="CR51" s="31">
        <v>0.89702970297029705</v>
      </c>
      <c r="CS51" s="31">
        <v>0.89558232931726911</v>
      </c>
      <c r="CT51" s="31">
        <v>0.91767068273092367</v>
      </c>
      <c r="CU51" s="31">
        <v>0.92712550607287447</v>
      </c>
      <c r="CV51" s="31">
        <v>0.91666666666666663</v>
      </c>
      <c r="CW51" s="31">
        <v>0.92504930966469423</v>
      </c>
      <c r="CX51" s="31">
        <v>0.90837746710169742</v>
      </c>
      <c r="CY51" s="31">
        <v>0.874</v>
      </c>
      <c r="CZ51" s="31">
        <v>0.94578313253012047</v>
      </c>
      <c r="DA51" s="31">
        <v>0.86</v>
      </c>
      <c r="DB51" s="31">
        <v>0.89</v>
      </c>
      <c r="DC51" s="31">
        <v>0.92814371257485029</v>
      </c>
      <c r="DD51" s="31">
        <v>0.92771084337349397</v>
      </c>
      <c r="DE51" s="31">
        <v>0.90963855421686746</v>
      </c>
      <c r="DF51" s="31">
        <v>0.9050394632421902</v>
      </c>
      <c r="DG51" s="31">
        <v>0.92215568862275454</v>
      </c>
      <c r="DH51" s="31">
        <v>0.90239043824701193</v>
      </c>
      <c r="DI51" s="31">
        <v>0.89065606361829031</v>
      </c>
      <c r="DJ51" s="31">
        <v>0.87649402390438247</v>
      </c>
      <c r="DK51" s="31">
        <v>0.952191235059761</v>
      </c>
      <c r="DL51" s="31">
        <v>0.92445328031809149</v>
      </c>
      <c r="DM51" s="31">
        <v>0.92644135188866794</v>
      </c>
      <c r="DN51" s="31">
        <v>0.91354029737985143</v>
      </c>
      <c r="DO51" s="31">
        <v>0.87951807228915657</v>
      </c>
      <c r="DP51" s="31">
        <v>0.88690476190476186</v>
      </c>
      <c r="DQ51" s="31">
        <v>0.82530120481927716</v>
      </c>
      <c r="DR51" s="31">
        <v>0.84136546184738958</v>
      </c>
      <c r="DS51" s="31">
        <v>0.89357429718875503</v>
      </c>
      <c r="DT51" s="31">
        <v>0.91983967935871747</v>
      </c>
      <c r="DU51" s="31">
        <v>0.94106090373280948</v>
      </c>
      <c r="DV51" s="31">
        <v>0.88393776873440955</v>
      </c>
      <c r="DW51" s="31">
        <v>0.88955823293172687</v>
      </c>
      <c r="DX51" s="31">
        <v>0.88955823293172687</v>
      </c>
      <c r="DY51" s="31">
        <v>0.85742971887550201</v>
      </c>
      <c r="DZ51" s="31">
        <v>0.87550200803212852</v>
      </c>
      <c r="EA51" s="31">
        <v>0.89959839357429716</v>
      </c>
      <c r="EB51" s="31">
        <v>0.90763052208835338</v>
      </c>
      <c r="EC51" s="31">
        <v>0.88152610441767065</v>
      </c>
      <c r="ED51" s="31">
        <v>0.88582903040734362</v>
      </c>
      <c r="EE51" s="31">
        <v>0.96593186372745488</v>
      </c>
      <c r="EF51" s="31">
        <v>0.90763052208835338</v>
      </c>
      <c r="EG51" s="31">
        <v>0.95199999999999996</v>
      </c>
      <c r="EH51" s="31">
        <v>0.97490347490347495</v>
      </c>
      <c r="EI51" s="31">
        <v>0.94246031746031744</v>
      </c>
      <c r="EJ51" s="31">
        <v>0.93041749502982107</v>
      </c>
      <c r="EK51" s="31">
        <v>0.95849802371541504</v>
      </c>
      <c r="EL51" s="31">
        <v>0.9474059567035481</v>
      </c>
    </row>
    <row r="52" spans="38:142" x14ac:dyDescent="0.35">
      <c r="AL52" s="19" t="s">
        <v>105</v>
      </c>
      <c r="AM52" s="31">
        <v>0.95462184873949585</v>
      </c>
      <c r="AN52" s="31">
        <v>0.95896147403685095</v>
      </c>
      <c r="AO52" s="31">
        <v>0.94533221194280903</v>
      </c>
      <c r="AP52" s="31">
        <v>0.93718592964824121</v>
      </c>
      <c r="AQ52" s="31">
        <v>0.94970662196144173</v>
      </c>
      <c r="AR52" s="31">
        <v>0.94387755102040816</v>
      </c>
      <c r="AS52" s="31">
        <v>0.92767031118587051</v>
      </c>
      <c r="AT52" s="31">
        <v>0.9453365640764454</v>
      </c>
      <c r="AU52" s="31">
        <v>0.98661087866108788</v>
      </c>
      <c r="AV52" s="31">
        <v>0.96153846153846156</v>
      </c>
      <c r="AW52" s="31">
        <v>0.96290050590219223</v>
      </c>
      <c r="AX52" s="31">
        <v>0.95095594347464674</v>
      </c>
      <c r="AY52" s="31">
        <v>0.97004991680532449</v>
      </c>
      <c r="AZ52" s="31">
        <v>0.97331109257714765</v>
      </c>
      <c r="BA52" s="31">
        <v>0.97250000000000003</v>
      </c>
      <c r="BB52" s="31">
        <v>0.96826668556555151</v>
      </c>
      <c r="BC52" s="31">
        <v>0.93361702127659574</v>
      </c>
      <c r="BD52" s="31">
        <v>0.93697478991596639</v>
      </c>
      <c r="BE52" s="31">
        <v>0.93452380952380953</v>
      </c>
      <c r="BF52" s="31">
        <v>0.91337907375643224</v>
      </c>
      <c r="BG52" s="31">
        <v>0.94387755102040816</v>
      </c>
      <c r="BH52" s="31">
        <v>0.9680672268907563</v>
      </c>
      <c r="BI52" s="31">
        <v>0.95822676896845693</v>
      </c>
      <c r="BJ52" s="31">
        <v>0.94123803447891785</v>
      </c>
      <c r="BK52" s="31">
        <v>0.87206266318537862</v>
      </c>
      <c r="BL52" s="31">
        <v>0.94153052450558894</v>
      </c>
      <c r="BM52" s="31">
        <v>0.88010425716768026</v>
      </c>
      <c r="BN52" s="31">
        <v>0.88087248322147649</v>
      </c>
      <c r="BO52" s="31">
        <v>0.9152542372881356</v>
      </c>
      <c r="BP52" s="31">
        <v>0.94232400339270572</v>
      </c>
      <c r="BQ52" s="31">
        <v>0.92281594571670911</v>
      </c>
      <c r="BR52" s="31">
        <v>0.90785201635395352</v>
      </c>
      <c r="BS52" s="31">
        <v>0.92963576158940397</v>
      </c>
      <c r="BT52" s="31">
        <v>0.91337258200168203</v>
      </c>
      <c r="BU52" s="31">
        <v>0.93094841930116468</v>
      </c>
      <c r="BV52" s="31">
        <v>0.93811881188118806</v>
      </c>
      <c r="BW52" s="31">
        <v>0.96185737976782748</v>
      </c>
      <c r="BX52" s="31">
        <v>0.93894389438943893</v>
      </c>
      <c r="BY52" s="31">
        <v>0.94098088113050704</v>
      </c>
      <c r="BZ52" s="31">
        <v>0.93626539000874465</v>
      </c>
      <c r="CA52" s="31">
        <v>0.94251012145748991</v>
      </c>
      <c r="CB52" s="31">
        <v>0.96969696969696972</v>
      </c>
      <c r="CC52" s="31">
        <v>0.91585760517799353</v>
      </c>
      <c r="CD52" s="31">
        <v>0.92897497982243749</v>
      </c>
      <c r="CE52" s="31">
        <v>0.94417475728155342</v>
      </c>
      <c r="CF52" s="31">
        <v>0.963963963963964</v>
      </c>
      <c r="CG52" s="31">
        <v>0.9452054794520548</v>
      </c>
      <c r="CH52" s="31">
        <v>0.94434055383606619</v>
      </c>
      <c r="CI52" s="31">
        <v>0.88165210484511514</v>
      </c>
      <c r="CJ52" s="31">
        <v>0.97566909975669103</v>
      </c>
      <c r="CK52" s="31">
        <v>0.89331210191082799</v>
      </c>
      <c r="CL52" s="31">
        <v>0.90533015115354021</v>
      </c>
      <c r="CM52" s="31">
        <v>0.9060509554140127</v>
      </c>
      <c r="CN52" s="31">
        <v>0.94859437751004017</v>
      </c>
      <c r="CO52" s="31">
        <v>0.9270248596631917</v>
      </c>
      <c r="CP52" s="31">
        <v>0.91966195003620277</v>
      </c>
      <c r="CQ52" s="31">
        <v>0.92736077481840196</v>
      </c>
      <c r="CR52" s="31">
        <v>0.91971383147853736</v>
      </c>
      <c r="CS52" s="31">
        <v>0.92950819672131146</v>
      </c>
      <c r="CT52" s="31">
        <v>0.89959514170040489</v>
      </c>
      <c r="CU52" s="31">
        <v>0.92794235388310653</v>
      </c>
      <c r="CV52" s="31">
        <v>0.91826923076923073</v>
      </c>
      <c r="CW52" s="31">
        <v>0.93971061093247588</v>
      </c>
      <c r="CX52" s="31">
        <v>0.92315716290049554</v>
      </c>
      <c r="CY52" s="31">
        <v>0.89022435897435892</v>
      </c>
      <c r="CZ52" s="31">
        <v>0.93864013266998336</v>
      </c>
      <c r="DA52" s="31">
        <v>0.914572864321608</v>
      </c>
      <c r="DB52" s="31">
        <v>0.93604651162790697</v>
      </c>
      <c r="DC52" s="31">
        <v>0.8848920863309353</v>
      </c>
      <c r="DD52" s="31">
        <v>0.91504854368932043</v>
      </c>
      <c r="DE52" s="31">
        <v>0.92810985460420037</v>
      </c>
      <c r="DF52" s="31">
        <v>0.91536205031690188</v>
      </c>
      <c r="DG52" s="31">
        <v>0.88870568837592745</v>
      </c>
      <c r="DH52" s="31">
        <v>0.92964824120603018</v>
      </c>
      <c r="DI52" s="31">
        <v>0.90786136939983098</v>
      </c>
      <c r="DJ52" s="31">
        <v>0.89229494614747307</v>
      </c>
      <c r="DK52" s="31">
        <v>0.90542763157894735</v>
      </c>
      <c r="DL52" s="31">
        <v>0.9114971050454922</v>
      </c>
      <c r="DM52" s="31">
        <v>0.89885807504078308</v>
      </c>
      <c r="DN52" s="31">
        <v>0.90489900811349777</v>
      </c>
      <c r="DO52" s="31">
        <v>0.90187713310580209</v>
      </c>
      <c r="DP52" s="31">
        <v>0.89377593360995855</v>
      </c>
      <c r="DQ52" s="31">
        <v>0.88346186803770355</v>
      </c>
      <c r="DR52" s="31">
        <v>0.90170940170940173</v>
      </c>
      <c r="DS52" s="31">
        <v>0.90500000000000003</v>
      </c>
      <c r="DT52" s="31">
        <v>0.88980944490472247</v>
      </c>
      <c r="DU52" s="31">
        <v>0.89592006661115742</v>
      </c>
      <c r="DV52" s="31">
        <v>0.89593626399696369</v>
      </c>
      <c r="DW52" s="31">
        <v>0.9045643153526971</v>
      </c>
      <c r="DX52" s="31">
        <v>0.91969568892645814</v>
      </c>
      <c r="DY52" s="31">
        <v>0.88483844241922116</v>
      </c>
      <c r="DZ52" s="31">
        <v>0.90049751243781095</v>
      </c>
      <c r="EA52" s="31">
        <v>0.91060985797827898</v>
      </c>
      <c r="EB52" s="31">
        <v>0.91715976331360949</v>
      </c>
      <c r="EC52" s="31">
        <v>0.91526845637583898</v>
      </c>
      <c r="ED52" s="31">
        <v>0.90751914811484491</v>
      </c>
      <c r="EE52" s="31">
        <v>0.910981697171381</v>
      </c>
      <c r="EF52" s="31">
        <v>0.89975144987572497</v>
      </c>
      <c r="EG52" s="31">
        <v>0.88531353135313529</v>
      </c>
      <c r="EH52" s="31">
        <v>0.91114836546521372</v>
      </c>
      <c r="EI52" s="31">
        <v>0.90736145574855254</v>
      </c>
      <c r="EJ52" s="31">
        <v>0.92915980230642503</v>
      </c>
      <c r="EK52" s="31">
        <v>0.9192751235584844</v>
      </c>
      <c r="EL52" s="31">
        <v>0.90899877506841664</v>
      </c>
    </row>
    <row r="53" spans="38:142" x14ac:dyDescent="0.35">
      <c r="AL53" s="19" t="s">
        <v>106</v>
      </c>
      <c r="AM53" s="31">
        <v>0.84432717678100266</v>
      </c>
      <c r="AN53" s="31">
        <v>0.79947229551451182</v>
      </c>
      <c r="AO53" s="31">
        <v>0.82849604221635886</v>
      </c>
      <c r="AP53" s="31">
        <v>0.8970976253298153</v>
      </c>
      <c r="AQ53" s="31">
        <v>0.81794195250659629</v>
      </c>
      <c r="AR53" s="31">
        <v>0.83377308707124009</v>
      </c>
      <c r="AS53" s="31">
        <v>0.83641160949868076</v>
      </c>
      <c r="AT53" s="31">
        <v>0.83678854127402946</v>
      </c>
      <c r="AU53" s="31">
        <v>0.87598944591029027</v>
      </c>
      <c r="AV53" s="31">
        <v>0.87862796833773082</v>
      </c>
      <c r="AW53" s="31">
        <v>0.87071240105540892</v>
      </c>
      <c r="AX53" s="31">
        <v>0.87598944591029027</v>
      </c>
      <c r="AY53" s="31">
        <v>0.87862796833773082</v>
      </c>
      <c r="AZ53" s="31">
        <v>0.88390501319261217</v>
      </c>
      <c r="BA53" s="31">
        <v>0.86279683377308702</v>
      </c>
      <c r="BB53" s="31">
        <v>0.87523558235959287</v>
      </c>
      <c r="BC53" s="31">
        <v>0.8812664907651715</v>
      </c>
      <c r="BD53" s="31">
        <v>0.9050131926121372</v>
      </c>
      <c r="BE53" s="31">
        <v>0.920844327176781</v>
      </c>
      <c r="BF53" s="31">
        <v>0.9445910290237467</v>
      </c>
      <c r="BG53" s="31">
        <v>0.91820580474934033</v>
      </c>
      <c r="BH53" s="31">
        <v>0.91556728232189977</v>
      </c>
      <c r="BI53" s="31">
        <v>0.920844327176781</v>
      </c>
      <c r="BJ53" s="31">
        <v>0.91519035054655107</v>
      </c>
      <c r="BK53" s="31">
        <v>0.83905013192612132</v>
      </c>
      <c r="BL53" s="31">
        <v>0.94986807387862793</v>
      </c>
      <c r="BM53" s="31">
        <v>0.87598944591029027</v>
      </c>
      <c r="BN53" s="31">
        <v>0.87598944591029027</v>
      </c>
      <c r="BO53" s="31">
        <v>0.92612137203166223</v>
      </c>
      <c r="BP53" s="31">
        <v>0.9841688654353562</v>
      </c>
      <c r="BQ53" s="31">
        <v>0.96306068601583117</v>
      </c>
      <c r="BR53" s="31">
        <v>0.91632114587259716</v>
      </c>
      <c r="BS53" s="31">
        <v>0.96569920844327173</v>
      </c>
      <c r="BT53" s="31">
        <v>0.91556728232189977</v>
      </c>
      <c r="BU53" s="31">
        <v>0.98944591029023743</v>
      </c>
      <c r="BV53" s="31">
        <v>0.96306068601583117</v>
      </c>
      <c r="BW53" s="31">
        <v>0.98680738786279687</v>
      </c>
      <c r="BX53" s="31">
        <v>0.98153034300791553</v>
      </c>
      <c r="BY53" s="31">
        <v>0.97361477572559363</v>
      </c>
      <c r="BZ53" s="31">
        <v>0.9679607990953637</v>
      </c>
      <c r="CA53" s="31">
        <v>0.87862796833773082</v>
      </c>
      <c r="CB53" s="31">
        <v>0.98680738786279687</v>
      </c>
      <c r="CC53" s="31">
        <v>0.8891820580474934</v>
      </c>
      <c r="CD53" s="31">
        <v>0.8812664907651715</v>
      </c>
      <c r="CE53" s="31">
        <v>0.91556728232189977</v>
      </c>
      <c r="CF53" s="31">
        <v>0.97361477572559363</v>
      </c>
      <c r="CG53" s="31">
        <v>0.97097625329815307</v>
      </c>
      <c r="CH53" s="31">
        <v>0.92800603090840561</v>
      </c>
      <c r="CI53" s="31">
        <v>0.90348525469168905</v>
      </c>
      <c r="CJ53" s="31">
        <v>0.9129287598944591</v>
      </c>
      <c r="CK53" s="31">
        <v>0.89008042895442363</v>
      </c>
      <c r="CL53" s="31">
        <v>0.92493297587131362</v>
      </c>
      <c r="CM53" s="31">
        <v>0.90080428954423597</v>
      </c>
      <c r="CN53" s="31">
        <v>0.9366754617414248</v>
      </c>
      <c r="CO53" s="31">
        <v>0.8812664907651715</v>
      </c>
      <c r="CP53" s="31">
        <v>0.90716766592324538</v>
      </c>
      <c r="CQ53" s="31">
        <v>0.87399463806970512</v>
      </c>
      <c r="CR53" s="31">
        <v>0.95442359249329756</v>
      </c>
      <c r="CS53" s="31">
        <v>0.88203753351206438</v>
      </c>
      <c r="CT53" s="31">
        <v>0.87131367292225204</v>
      </c>
      <c r="CU53" s="31">
        <v>0.87862796833773082</v>
      </c>
      <c r="CV53" s="31">
        <v>0.92493297587131362</v>
      </c>
      <c r="CW53" s="31">
        <v>0.88739946380697055</v>
      </c>
      <c r="CX53" s="31">
        <v>0.89610426357333339</v>
      </c>
      <c r="CY53" s="31">
        <v>0.79624664879356566</v>
      </c>
      <c r="CZ53" s="31">
        <v>0.88471849865951746</v>
      </c>
      <c r="DA53" s="31">
        <v>0.81501340482573725</v>
      </c>
      <c r="DB53" s="31">
        <v>0.82841823056300268</v>
      </c>
      <c r="DC53" s="31">
        <v>0.82037533512064342</v>
      </c>
      <c r="DD53" s="31">
        <v>0.86595174262734587</v>
      </c>
      <c r="DE53" s="31">
        <v>0.83109919571045576</v>
      </c>
      <c r="DF53" s="31">
        <v>0.83454615090003836</v>
      </c>
      <c r="DG53" s="31">
        <v>0.79624664879356566</v>
      </c>
      <c r="DH53" s="31">
        <v>0.82841823056300268</v>
      </c>
      <c r="DI53" s="31">
        <v>0.78016085790884715</v>
      </c>
      <c r="DJ53" s="31">
        <v>0.79624664879356566</v>
      </c>
      <c r="DK53" s="31">
        <v>0.7882037533512064</v>
      </c>
      <c r="DL53" s="31">
        <v>0.79088471849865949</v>
      </c>
      <c r="DM53" s="31">
        <v>0.79892761394101874</v>
      </c>
      <c r="DN53" s="31">
        <v>0.79701263883569506</v>
      </c>
      <c r="DO53" s="31">
        <v>0.77479892761394098</v>
      </c>
      <c r="DP53" s="31">
        <v>0.79624664879356566</v>
      </c>
      <c r="DQ53" s="31">
        <v>0.75603217158176939</v>
      </c>
      <c r="DR53" s="31">
        <v>0.73458445040214482</v>
      </c>
      <c r="DS53" s="31">
        <v>0.76139410187667556</v>
      </c>
      <c r="DT53" s="31">
        <v>0.79088471849865949</v>
      </c>
      <c r="DU53" s="31">
        <v>0.75603217158176939</v>
      </c>
      <c r="DV53" s="31">
        <v>0.76713902719264648</v>
      </c>
      <c r="DW53" s="31">
        <v>0.78016085790884715</v>
      </c>
      <c r="DX53" s="31">
        <v>0.79088471849865949</v>
      </c>
      <c r="DY53" s="31">
        <v>0.77479892761394098</v>
      </c>
      <c r="DZ53" s="31">
        <v>0.79624664879356566</v>
      </c>
      <c r="EA53" s="31">
        <v>0.80160857908847183</v>
      </c>
      <c r="EB53" s="31">
        <v>0.78284182305630023</v>
      </c>
      <c r="EC53" s="31">
        <v>0.806970509383378</v>
      </c>
      <c r="ED53" s="31">
        <v>0.79050172347759473</v>
      </c>
      <c r="EE53" s="31">
        <v>0.82037533512064342</v>
      </c>
      <c r="EF53" s="31">
        <v>0.80965147453083108</v>
      </c>
      <c r="EG53" s="31">
        <v>0.77479892761394098</v>
      </c>
      <c r="EH53" s="31">
        <v>0.7533512064343163</v>
      </c>
      <c r="EI53" s="31">
        <v>0.82305630026809651</v>
      </c>
      <c r="EJ53" s="31">
        <v>0.84450402144772119</v>
      </c>
      <c r="EK53" s="31">
        <v>0.84718498659517427</v>
      </c>
      <c r="EL53" s="31">
        <v>0.81041746457296049</v>
      </c>
    </row>
    <row r="54" spans="38:142" x14ac:dyDescent="0.35">
      <c r="AL54" s="19" t="s">
        <v>107</v>
      </c>
      <c r="AM54" s="31">
        <v>0.91585760517799353</v>
      </c>
      <c r="AN54" s="31">
        <v>0.90343698854337151</v>
      </c>
      <c r="AO54" s="31">
        <v>0.87278582930756843</v>
      </c>
      <c r="AP54" s="31">
        <v>0.90671031096563015</v>
      </c>
      <c r="AQ54" s="31">
        <v>0.95269168026101136</v>
      </c>
      <c r="AR54" s="31">
        <v>0.91693811074918563</v>
      </c>
      <c r="AS54" s="31">
        <v>0.93964110929853184</v>
      </c>
      <c r="AT54" s="31">
        <v>0.91543737632904176</v>
      </c>
      <c r="AU54" s="31">
        <v>0.91479099678456588</v>
      </c>
      <c r="AV54" s="31">
        <v>0.91774193548387095</v>
      </c>
      <c r="AW54" s="31">
        <v>0.9197431781701445</v>
      </c>
      <c r="AX54" s="31">
        <v>0.91800643086816724</v>
      </c>
      <c r="AY54" s="31">
        <v>0.91143317230273757</v>
      </c>
      <c r="AZ54" s="31">
        <v>0.94212218649517687</v>
      </c>
      <c r="BA54" s="31">
        <v>0.9258064516129032</v>
      </c>
      <c r="BB54" s="31">
        <v>0.92137776453108089</v>
      </c>
      <c r="BC54" s="31">
        <v>0.86088379705400986</v>
      </c>
      <c r="BD54" s="31">
        <v>0.91826923076923073</v>
      </c>
      <c r="BE54" s="31">
        <v>0.84142394822006472</v>
      </c>
      <c r="BF54" s="31">
        <v>0.8523274478330658</v>
      </c>
      <c r="BG54" s="31">
        <v>0.88387096774193552</v>
      </c>
      <c r="BH54" s="31">
        <v>0.93120000000000003</v>
      </c>
      <c r="BI54" s="31">
        <v>0.8992</v>
      </c>
      <c r="BJ54" s="31">
        <v>0.88388219880261532</v>
      </c>
      <c r="BK54" s="31">
        <v>0.7338709677419355</v>
      </c>
      <c r="BL54" s="31">
        <v>0.86858974358974361</v>
      </c>
      <c r="BM54" s="31">
        <v>0.74193548387096775</v>
      </c>
      <c r="BN54" s="31">
        <v>0.8</v>
      </c>
      <c r="BO54" s="31">
        <v>0.81290322580645158</v>
      </c>
      <c r="BP54" s="31">
        <v>0.86816720257234725</v>
      </c>
      <c r="BQ54" s="31">
        <v>0.86774193548387102</v>
      </c>
      <c r="BR54" s="31">
        <v>0.81331550843790246</v>
      </c>
      <c r="BS54" s="31">
        <v>0.82820097244732582</v>
      </c>
      <c r="BT54" s="31">
        <v>0.84677419354838712</v>
      </c>
      <c r="BU54" s="31">
        <v>0.87337662337662336</v>
      </c>
      <c r="BV54" s="31">
        <v>0.88977635782747599</v>
      </c>
      <c r="BW54" s="31">
        <v>0.85852090032154338</v>
      </c>
      <c r="BX54" s="31">
        <v>0.88548387096774195</v>
      </c>
      <c r="BY54" s="31">
        <v>0.8887096774193548</v>
      </c>
      <c r="BZ54" s="31">
        <v>0.8672632279869219</v>
      </c>
      <c r="CA54" s="31">
        <v>0.89262820512820518</v>
      </c>
      <c r="CB54" s="31">
        <v>0.91719745222929938</v>
      </c>
      <c r="CC54" s="31">
        <v>0.8683788121990369</v>
      </c>
      <c r="CD54" s="31">
        <v>0.88764044943820219</v>
      </c>
      <c r="CE54" s="31">
        <v>0.89743589743589747</v>
      </c>
      <c r="CF54" s="31">
        <v>0.93429487179487181</v>
      </c>
      <c r="CG54" s="31">
        <v>0.90865384615384615</v>
      </c>
      <c r="CH54" s="31">
        <v>0.90088993348276547</v>
      </c>
      <c r="CI54" s="31">
        <v>0.8860353130016051</v>
      </c>
      <c r="CJ54" s="31">
        <v>0.90192926045016075</v>
      </c>
      <c r="CK54" s="31">
        <v>0.90951638065522622</v>
      </c>
      <c r="CL54" s="31">
        <v>0.90327613104524185</v>
      </c>
      <c r="CM54" s="31">
        <v>0.9030206677265501</v>
      </c>
      <c r="CN54" s="31">
        <v>0.9085072231139647</v>
      </c>
      <c r="CO54" s="31">
        <v>0.88585209003215437</v>
      </c>
      <c r="CP54" s="31">
        <v>0.89973386657498622</v>
      </c>
      <c r="CQ54" s="31">
        <v>0.90724637681159426</v>
      </c>
      <c r="CR54" s="31">
        <v>0.90951638065522622</v>
      </c>
      <c r="CS54" s="31">
        <v>0.87391304347826082</v>
      </c>
      <c r="CT54" s="31">
        <v>0.87209302325581395</v>
      </c>
      <c r="CU54" s="31">
        <v>0.90156250000000004</v>
      </c>
      <c r="CV54" s="31">
        <v>0.91263650546021846</v>
      </c>
      <c r="CW54" s="31">
        <v>0.91601866251944009</v>
      </c>
      <c r="CX54" s="31">
        <v>0.89899807031150769</v>
      </c>
      <c r="CY54" s="31">
        <v>0.88260869565217392</v>
      </c>
      <c r="CZ54" s="31">
        <v>0.90072992700729926</v>
      </c>
      <c r="DA54" s="31">
        <v>0.85797101449275359</v>
      </c>
      <c r="DB54" s="31">
        <v>0.87045123726346429</v>
      </c>
      <c r="DC54" s="31">
        <v>0.91594202898550725</v>
      </c>
      <c r="DD54" s="31">
        <v>0.9068413391557496</v>
      </c>
      <c r="DE54" s="31">
        <v>0.90579710144927539</v>
      </c>
      <c r="DF54" s="31">
        <v>0.89147733485803193</v>
      </c>
      <c r="DG54" s="31">
        <v>0.85735080058224167</v>
      </c>
      <c r="DH54" s="31">
        <v>0.8808139534883721</v>
      </c>
      <c r="DI54" s="31">
        <v>0.82627737226277376</v>
      </c>
      <c r="DJ54" s="31">
        <v>0.83988355167394468</v>
      </c>
      <c r="DK54" s="31">
        <v>0.86811594202898545</v>
      </c>
      <c r="DL54" s="31">
        <v>0.8666666666666667</v>
      </c>
      <c r="DM54" s="31">
        <v>0.87101449275362319</v>
      </c>
      <c r="DN54" s="31">
        <v>0.85858896849380095</v>
      </c>
      <c r="DO54" s="31">
        <v>0.86357039187227869</v>
      </c>
      <c r="DP54" s="31">
        <v>0.86337209302325579</v>
      </c>
      <c r="DQ54" s="31">
        <v>0.836231884057971</v>
      </c>
      <c r="DR54" s="31">
        <v>0.85217391304347823</v>
      </c>
      <c r="DS54" s="31">
        <v>0.89810771470160111</v>
      </c>
      <c r="DT54" s="31">
        <v>0.8733624454148472</v>
      </c>
      <c r="DU54" s="31">
        <v>0.88985507246376816</v>
      </c>
      <c r="DV54" s="31">
        <v>0.86809621636817147</v>
      </c>
      <c r="DW54" s="31">
        <v>0.8867924528301887</v>
      </c>
      <c r="DX54" s="31">
        <v>0.88388969521044991</v>
      </c>
      <c r="DY54" s="31">
        <v>0.9</v>
      </c>
      <c r="DZ54" s="31">
        <v>0.88985507246376816</v>
      </c>
      <c r="EA54" s="31">
        <v>0.91449275362318838</v>
      </c>
      <c r="EB54" s="31">
        <v>0.90566037735849059</v>
      </c>
      <c r="EC54" s="31">
        <v>0.90434782608695652</v>
      </c>
      <c r="ED54" s="31">
        <v>0.89786259679614899</v>
      </c>
      <c r="EE54" s="31">
        <v>0.90261627906976749</v>
      </c>
      <c r="EF54" s="31">
        <v>0.92419825072886297</v>
      </c>
      <c r="EG54" s="31">
        <v>0.88260869565217392</v>
      </c>
      <c r="EH54" s="31">
        <v>0.8666666666666667</v>
      </c>
      <c r="EI54" s="31">
        <v>0.90345821325648412</v>
      </c>
      <c r="EJ54" s="31">
        <v>0.92587209302325579</v>
      </c>
      <c r="EK54" s="31">
        <v>0.91304347826086951</v>
      </c>
      <c r="EL54" s="31">
        <v>0.90263766809401147</v>
      </c>
    </row>
    <row r="55" spans="38:142" x14ac:dyDescent="0.35">
      <c r="AL55" s="19" t="s">
        <v>108</v>
      </c>
      <c r="AM55" s="31">
        <v>0.89439140811455842</v>
      </c>
      <c r="AN55" s="31">
        <v>0.86377335744424355</v>
      </c>
      <c r="AO55" s="31">
        <v>0.85521688159437281</v>
      </c>
      <c r="AP55" s="31">
        <v>0.86295631358467983</v>
      </c>
      <c r="AQ55" s="31">
        <v>0.89527229204069414</v>
      </c>
      <c r="AR55" s="31">
        <v>0.86377335744424355</v>
      </c>
      <c r="AS55" s="31">
        <v>0.89334931096464953</v>
      </c>
      <c r="AT55" s="31">
        <v>0.8755332744553489</v>
      </c>
      <c r="AU55" s="31">
        <v>0.90730837789661323</v>
      </c>
      <c r="AV55" s="31">
        <v>0.8671454219030521</v>
      </c>
      <c r="AW55" s="31">
        <v>0.90676416819012795</v>
      </c>
      <c r="AX55" s="31">
        <v>0.89259708737864074</v>
      </c>
      <c r="AY55" s="31">
        <v>0.94261294261294259</v>
      </c>
      <c r="AZ55" s="31">
        <v>0.92061538461538461</v>
      </c>
      <c r="BA55" s="31">
        <v>0.92127403846153844</v>
      </c>
      <c r="BB55" s="31">
        <v>0.90833106015118559</v>
      </c>
      <c r="BC55" s="31">
        <v>0.91325301204819276</v>
      </c>
      <c r="BD55" s="31">
        <v>0.90473300970873782</v>
      </c>
      <c r="BE55" s="31">
        <v>0.87462863933452173</v>
      </c>
      <c r="BF55" s="31">
        <v>0.86407766990291257</v>
      </c>
      <c r="BG55" s="31">
        <v>0.91291291291291288</v>
      </c>
      <c r="BH55" s="31">
        <v>0.92751039809863334</v>
      </c>
      <c r="BI55" s="31">
        <v>0.91676718938480095</v>
      </c>
      <c r="BJ55" s="31">
        <v>0.90198326162724451</v>
      </c>
      <c r="BK55" s="31">
        <v>0.75341651812240051</v>
      </c>
      <c r="BL55" s="31">
        <v>0.85861650485436891</v>
      </c>
      <c r="BM55" s="31">
        <v>0.73856209150326801</v>
      </c>
      <c r="BN55" s="31">
        <v>0.75899280575539574</v>
      </c>
      <c r="BO55" s="31">
        <v>0.81996434937611407</v>
      </c>
      <c r="BP55" s="31">
        <v>0.90252707581227432</v>
      </c>
      <c r="BQ55" s="31">
        <v>0.87686790197250453</v>
      </c>
      <c r="BR55" s="31">
        <v>0.81556389248518946</v>
      </c>
      <c r="BS55" s="31">
        <v>0.8058194774346793</v>
      </c>
      <c r="BT55" s="31">
        <v>0.78896882494004794</v>
      </c>
      <c r="BU55" s="31">
        <v>0.82007125890736343</v>
      </c>
      <c r="BV55" s="31">
        <v>0.84122228879568606</v>
      </c>
      <c r="BW55" s="31">
        <v>0.84238805970149255</v>
      </c>
      <c r="BX55" s="31">
        <v>0.80926916221033873</v>
      </c>
      <c r="BY55" s="31">
        <v>0.8554360812425329</v>
      </c>
      <c r="BZ55" s="31">
        <v>0.82331073617602013</v>
      </c>
      <c r="CA55" s="31">
        <v>0.95394736842105265</v>
      </c>
      <c r="CB55" s="31">
        <v>0.8639904134212103</v>
      </c>
      <c r="CC55" s="31">
        <v>0.8995215311004785</v>
      </c>
      <c r="CD55" s="31">
        <v>0.88461538461538458</v>
      </c>
      <c r="CE55" s="31">
        <v>0.93150684931506844</v>
      </c>
      <c r="CF55" s="31">
        <v>0.92745803357314149</v>
      </c>
      <c r="CG55" s="31">
        <v>0.93393393393393398</v>
      </c>
      <c r="CH55" s="31">
        <v>0.91356764491146691</v>
      </c>
      <c r="CI55" s="31">
        <v>0.9492234169653524</v>
      </c>
      <c r="CJ55" s="31">
        <v>0.90024038461538458</v>
      </c>
      <c r="CK55" s="31">
        <v>0.90563798219584568</v>
      </c>
      <c r="CL55" s="31">
        <v>0.90563798219584568</v>
      </c>
      <c r="CM55" s="31">
        <v>0.89812646370023419</v>
      </c>
      <c r="CN55" s="31">
        <v>0.95084951456310685</v>
      </c>
      <c r="CO55" s="31">
        <v>0.92169754931261205</v>
      </c>
      <c r="CP55" s="31">
        <v>0.91877332764976871</v>
      </c>
      <c r="CQ55" s="31">
        <v>0.89249852333136448</v>
      </c>
      <c r="CR55" s="31">
        <v>0.88547815820543097</v>
      </c>
      <c r="CS55" s="31">
        <v>0.86216839677047286</v>
      </c>
      <c r="CT55" s="31">
        <v>0.87485515643105449</v>
      </c>
      <c r="CU55" s="31">
        <v>0.89912023460410562</v>
      </c>
      <c r="CV55" s="31">
        <v>0.9363636363636364</v>
      </c>
      <c r="CW55" s="31">
        <v>0.91536614645858339</v>
      </c>
      <c r="CX55" s="31">
        <v>0.8951214645949499</v>
      </c>
      <c r="CY55" s="31">
        <v>0.91266628108733372</v>
      </c>
      <c r="CZ55" s="31">
        <v>0.87485515643105449</v>
      </c>
      <c r="DA55" s="31">
        <v>0.91266628108733372</v>
      </c>
      <c r="DB55" s="31">
        <v>0.91266628108733372</v>
      </c>
      <c r="DC55" s="31">
        <v>0.95773809523809528</v>
      </c>
      <c r="DD55" s="31">
        <v>0.93879976232917406</v>
      </c>
      <c r="DE55" s="31">
        <v>0.90341237709658762</v>
      </c>
      <c r="DF55" s="31">
        <v>0.91611489062241602</v>
      </c>
      <c r="DG55" s="31">
        <v>0.90599294947121034</v>
      </c>
      <c r="DH55" s="31">
        <v>0.88436955258570593</v>
      </c>
      <c r="DI55" s="31">
        <v>0.87738577212261426</v>
      </c>
      <c r="DJ55" s="31">
        <v>0.87158628704241725</v>
      </c>
      <c r="DK55" s="31">
        <v>0.90599294947121034</v>
      </c>
      <c r="DL55" s="31">
        <v>0.89760093622001169</v>
      </c>
      <c r="DM55" s="31">
        <v>0.91964809384164226</v>
      </c>
      <c r="DN55" s="31">
        <v>0.89465379153640168</v>
      </c>
      <c r="DO55" s="31">
        <v>0.88625592417061616</v>
      </c>
      <c r="DP55" s="31">
        <v>0.87623474723997674</v>
      </c>
      <c r="DQ55" s="31">
        <v>0.86925795053003529</v>
      </c>
      <c r="DR55" s="31">
        <v>0.87216734456711209</v>
      </c>
      <c r="DS55" s="31">
        <v>0.88393903868698709</v>
      </c>
      <c r="DT55" s="31">
        <v>0.91117647058823525</v>
      </c>
      <c r="DU55" s="31">
        <v>0.89331770222743256</v>
      </c>
      <c r="DV55" s="31">
        <v>0.88462131114434217</v>
      </c>
      <c r="DW55" s="31">
        <v>0.9348591549295775</v>
      </c>
      <c r="DX55" s="31">
        <v>0.88204532248692624</v>
      </c>
      <c r="DY55" s="31">
        <v>0.9155092592592593</v>
      </c>
      <c r="DZ55" s="31">
        <v>0.89767441860465114</v>
      </c>
      <c r="EA55" s="31">
        <v>0.94329592439456589</v>
      </c>
      <c r="EB55" s="31">
        <v>0.9341637010676157</v>
      </c>
      <c r="EC55" s="31">
        <v>0.93793911007025765</v>
      </c>
      <c r="ED55" s="31">
        <v>0.92078384154469339</v>
      </c>
      <c r="EE55" s="31">
        <v>0.93647058823529417</v>
      </c>
      <c r="EF55" s="31">
        <v>0.90988372093023251</v>
      </c>
      <c r="EG55" s="31">
        <v>0.90153301886792447</v>
      </c>
      <c r="EH55" s="31">
        <v>0.88895348837209298</v>
      </c>
      <c r="EI55" s="31">
        <v>0.93215339233038352</v>
      </c>
      <c r="EJ55" s="31">
        <v>0.94578668238067176</v>
      </c>
      <c r="EK55" s="31">
        <v>0.94280660377358494</v>
      </c>
      <c r="EL55" s="31">
        <v>0.92251249927002643</v>
      </c>
    </row>
    <row r="56" spans="38:142" x14ac:dyDescent="0.35">
      <c r="AL56" s="19" t="s">
        <v>109</v>
      </c>
      <c r="AM56" s="31">
        <v>0.88902291917973464</v>
      </c>
      <c r="AN56" s="31">
        <v>0.94275274056029235</v>
      </c>
      <c r="AO56" s="31">
        <v>0.90151515151515149</v>
      </c>
      <c r="AP56" s="31">
        <v>0.93836477987421385</v>
      </c>
      <c r="AQ56" s="31">
        <v>0.88039457459926018</v>
      </c>
      <c r="AR56" s="31">
        <v>0.92025316455696204</v>
      </c>
      <c r="AS56" s="31">
        <v>0.8898408812729498</v>
      </c>
      <c r="AT56" s="31">
        <v>0.90887774450836645</v>
      </c>
      <c r="AU56" s="31">
        <v>0.95179233621755255</v>
      </c>
      <c r="AV56" s="31">
        <v>0.94271481942714819</v>
      </c>
      <c r="AW56" s="31">
        <v>0.92289156626506019</v>
      </c>
      <c r="AX56" s="31">
        <v>0.96210268948655253</v>
      </c>
      <c r="AY56" s="31">
        <v>0.97971360381861572</v>
      </c>
      <c r="AZ56" s="31">
        <v>0.98385093167701865</v>
      </c>
      <c r="BA56" s="31">
        <v>0.95944233206590623</v>
      </c>
      <c r="BB56" s="31">
        <v>0.9575011827082649</v>
      </c>
      <c r="BC56" s="31">
        <v>0.95443645083932849</v>
      </c>
      <c r="BD56" s="31">
        <v>0.97946859903381644</v>
      </c>
      <c r="BE56" s="31">
        <v>0.93058823529411761</v>
      </c>
      <c r="BF56" s="31">
        <v>0.95942720763723155</v>
      </c>
      <c r="BG56" s="31">
        <v>0.95862884160756501</v>
      </c>
      <c r="BH56" s="31">
        <v>0.9707602339181286</v>
      </c>
      <c r="BI56" s="31">
        <v>0.97674418604651159</v>
      </c>
      <c r="BJ56" s="31">
        <v>0.96143625062524285</v>
      </c>
      <c r="BK56" s="31">
        <v>0.87855297157622736</v>
      </c>
      <c r="BL56" s="31">
        <v>0.98813760379596682</v>
      </c>
      <c r="BM56" s="31">
        <v>0.90171990171990168</v>
      </c>
      <c r="BN56" s="31">
        <v>0.92067307692307687</v>
      </c>
      <c r="BO56" s="31">
        <v>0.91309669522643822</v>
      </c>
      <c r="BP56" s="31">
        <v>0.9459783913565426</v>
      </c>
      <c r="BQ56" s="31">
        <v>0.92505854800936771</v>
      </c>
      <c r="BR56" s="31">
        <v>0.92474531265821747</v>
      </c>
      <c r="BS56" s="31">
        <v>0.95011600928074247</v>
      </c>
      <c r="BT56" s="31">
        <v>0.97186400937866357</v>
      </c>
      <c r="BU56" s="31">
        <v>0.96175478065241848</v>
      </c>
      <c r="BV56" s="31">
        <v>0.98308906426155585</v>
      </c>
      <c r="BW56" s="31">
        <v>0.96796338672768878</v>
      </c>
      <c r="BX56" s="31">
        <v>0.98748577929465298</v>
      </c>
      <c r="BY56" s="31">
        <v>0.98392652123995405</v>
      </c>
      <c r="BZ56" s="31">
        <v>0.97231422154795388</v>
      </c>
      <c r="CA56" s="31">
        <v>0.95939675174013916</v>
      </c>
      <c r="CB56" s="31">
        <v>0.97886540600667404</v>
      </c>
      <c r="CC56" s="31">
        <v>0.95776255707762559</v>
      </c>
      <c r="CD56" s="31">
        <v>0.96770472895040371</v>
      </c>
      <c r="CE56" s="31">
        <v>0.9640852974186308</v>
      </c>
      <c r="CF56" s="31">
        <v>0.9758241758241758</v>
      </c>
      <c r="CG56" s="31">
        <v>0.97961494903737256</v>
      </c>
      <c r="CH56" s="31">
        <v>0.96903626657928876</v>
      </c>
      <c r="CI56" s="31">
        <v>0.92192881745120547</v>
      </c>
      <c r="CJ56" s="31">
        <v>0.96962879640044997</v>
      </c>
      <c r="CK56" s="31">
        <v>0.93511008111239857</v>
      </c>
      <c r="CL56" s="31">
        <v>0.92245370370370372</v>
      </c>
      <c r="CM56" s="31">
        <v>0.92655367231638419</v>
      </c>
      <c r="CN56" s="31">
        <v>0.96598639455782309</v>
      </c>
      <c r="CO56" s="31">
        <v>0.96171171171171166</v>
      </c>
      <c r="CP56" s="31">
        <v>0.94333902532195391</v>
      </c>
      <c r="CQ56" s="31">
        <v>0.94994311717861202</v>
      </c>
      <c r="CR56" s="31">
        <v>0.95249130938586324</v>
      </c>
      <c r="CS56" s="31">
        <v>0.94424673784104385</v>
      </c>
      <c r="CT56" s="31">
        <v>0.94237288135593222</v>
      </c>
      <c r="CU56" s="31">
        <v>0.94897959183673475</v>
      </c>
      <c r="CV56" s="31">
        <v>0.9622857142857143</v>
      </c>
      <c r="CW56" s="31">
        <v>0.96149490373725932</v>
      </c>
      <c r="CX56" s="31">
        <v>0.95168775080302281</v>
      </c>
      <c r="CY56" s="31">
        <v>0.92298578199052128</v>
      </c>
      <c r="CZ56" s="31">
        <v>0.94671201814058958</v>
      </c>
      <c r="DA56" s="31">
        <v>0.93896713615023475</v>
      </c>
      <c r="DB56" s="31">
        <v>0.97909407665505221</v>
      </c>
      <c r="DC56" s="31">
        <v>0.90269636576787804</v>
      </c>
      <c r="DD56" s="31">
        <v>0.94579008073817761</v>
      </c>
      <c r="DE56" s="31">
        <v>0.9285714285714286</v>
      </c>
      <c r="DF56" s="31">
        <v>0.93783098400198306</v>
      </c>
      <c r="DG56" s="31">
        <v>0.90599294947121034</v>
      </c>
      <c r="DH56" s="31">
        <v>0.98633257403189067</v>
      </c>
      <c r="DI56" s="31">
        <v>0.88849765258215962</v>
      </c>
      <c r="DJ56" s="31">
        <v>0.92497069167643609</v>
      </c>
      <c r="DK56" s="31">
        <v>0.9071100917431193</v>
      </c>
      <c r="DL56" s="31">
        <v>0.98354876615746178</v>
      </c>
      <c r="DM56" s="31">
        <v>0.93163383545770573</v>
      </c>
      <c r="DN56" s="31">
        <v>0.93258379444571193</v>
      </c>
      <c r="DO56" s="31">
        <v>0.8683274021352313</v>
      </c>
      <c r="DP56" s="31">
        <v>0.93838862559241709</v>
      </c>
      <c r="DQ56" s="31">
        <v>0.83352872215709262</v>
      </c>
      <c r="DR56" s="31">
        <v>0.8414201183431953</v>
      </c>
      <c r="DS56" s="31">
        <v>0.90193842645381983</v>
      </c>
      <c r="DT56" s="31">
        <v>0.93837209302325586</v>
      </c>
      <c r="DU56" s="31">
        <v>0.91149425287356323</v>
      </c>
      <c r="DV56" s="31">
        <v>0.89049566293979632</v>
      </c>
      <c r="DW56" s="31">
        <v>0.84952606635071093</v>
      </c>
      <c r="DX56" s="31">
        <v>0.87218934911242607</v>
      </c>
      <c r="DY56" s="31">
        <v>0.84082624544349938</v>
      </c>
      <c r="DZ56" s="31">
        <v>0.86114494518879414</v>
      </c>
      <c r="EA56" s="31">
        <v>0.87002341920374704</v>
      </c>
      <c r="EB56" s="31">
        <v>0.88641686182669788</v>
      </c>
      <c r="EC56" s="31">
        <v>0.8876941457586619</v>
      </c>
      <c r="ED56" s="31">
        <v>0.86683157612636241</v>
      </c>
      <c r="EE56" s="31">
        <v>0.8719806763285024</v>
      </c>
      <c r="EF56" s="31">
        <v>0.92102065613608752</v>
      </c>
      <c r="EG56" s="31">
        <v>0.84484848484848485</v>
      </c>
      <c r="EH56" s="31">
        <v>0.85360094451003543</v>
      </c>
      <c r="EI56" s="31">
        <v>0.87912087912087911</v>
      </c>
      <c r="EJ56" s="31">
        <v>0.91330891330891328</v>
      </c>
      <c r="EK56" s="31">
        <v>0.89025893958076452</v>
      </c>
      <c r="EL56" s="31">
        <v>0.88201992769052395</v>
      </c>
    </row>
    <row r="57" spans="38:142" x14ac:dyDescent="0.35">
      <c r="AL57" s="19" t="s">
        <v>261</v>
      </c>
      <c r="AM57" s="31">
        <v>0.84422442244224427</v>
      </c>
      <c r="AN57" s="31">
        <v>0.82838283828382842</v>
      </c>
      <c r="AO57" s="31">
        <v>0.83960396039603957</v>
      </c>
      <c r="AP57" s="31">
        <v>0.81990831696136213</v>
      </c>
      <c r="AQ57" s="31">
        <v>0.83059750492449114</v>
      </c>
      <c r="AR57" s="31">
        <v>0.84092409240924093</v>
      </c>
      <c r="AS57" s="31">
        <v>0.83936800526662281</v>
      </c>
      <c r="AT57" s="31">
        <v>0.83471559152626151</v>
      </c>
      <c r="AU57" s="31">
        <v>0.87024901703800783</v>
      </c>
      <c r="AV57" s="31">
        <v>0.83213585891574138</v>
      </c>
      <c r="AW57" s="31">
        <v>0.85583224115334211</v>
      </c>
      <c r="AX57" s="31">
        <v>0.85807717462393718</v>
      </c>
      <c r="AY57" s="31">
        <v>0.88532110091743121</v>
      </c>
      <c r="AZ57" s="31">
        <v>0.86684073107049608</v>
      </c>
      <c r="BA57" s="31">
        <v>0.87597911227154046</v>
      </c>
      <c r="BB57" s="31">
        <v>0.86349074799864234</v>
      </c>
      <c r="BC57" s="31">
        <v>0.85190039318479682</v>
      </c>
      <c r="BD57" s="31">
        <v>0.8650949574328749</v>
      </c>
      <c r="BE57" s="31">
        <v>0.84272608125819137</v>
      </c>
      <c r="BF57" s="31">
        <v>0.82069874752801586</v>
      </c>
      <c r="BG57" s="31">
        <v>0.85938521909744936</v>
      </c>
      <c r="BH57" s="31">
        <v>0.85134250163719716</v>
      </c>
      <c r="BI57" s="31">
        <v>0.86530880420499345</v>
      </c>
      <c r="BJ57" s="31">
        <v>0.85092238633478823</v>
      </c>
      <c r="BK57" s="31">
        <v>0.7565922920892495</v>
      </c>
      <c r="BL57" s="31">
        <v>0.82081686429512513</v>
      </c>
      <c r="BM57" s="31">
        <v>0.70407481629926516</v>
      </c>
      <c r="BN57" s="31">
        <v>0.7239101717305152</v>
      </c>
      <c r="BO57" s="31">
        <v>0.80054090601757943</v>
      </c>
      <c r="BP57" s="31">
        <v>0.87374749498997994</v>
      </c>
      <c r="BQ57" s="31">
        <v>0.83992094861660083</v>
      </c>
      <c r="BR57" s="31">
        <v>0.78851478486261628</v>
      </c>
      <c r="BS57" s="31">
        <v>0.87086092715231789</v>
      </c>
      <c r="BT57" s="31">
        <v>0.75065445026178013</v>
      </c>
      <c r="BU57" s="31">
        <v>0.84838497033618987</v>
      </c>
      <c r="BV57" s="31">
        <v>0.86988110964332888</v>
      </c>
      <c r="BW57" s="31">
        <v>0.85971943887775548</v>
      </c>
      <c r="BX57" s="31">
        <v>0.81217277486910999</v>
      </c>
      <c r="BY57" s="31">
        <v>0.85072655217965654</v>
      </c>
      <c r="BZ57" s="31">
        <v>0.83748574618859117</v>
      </c>
      <c r="CA57" s="31">
        <v>0.88227848101265827</v>
      </c>
      <c r="CB57" s="31">
        <v>0.88573315719947154</v>
      </c>
      <c r="CC57" s="31">
        <v>0.87911392405063293</v>
      </c>
      <c r="CD57" s="31">
        <v>0.85201511335012592</v>
      </c>
      <c r="CE57" s="31">
        <v>0.90333115610711956</v>
      </c>
      <c r="CF57" s="31">
        <v>0.90422721268163808</v>
      </c>
      <c r="CG57" s="31">
        <v>0.91197882197220381</v>
      </c>
      <c r="CH57" s="31">
        <v>0.88838255233912145</v>
      </c>
      <c r="CI57" s="31">
        <v>0.85419198055893075</v>
      </c>
      <c r="CJ57" s="31">
        <v>0.87703889585947303</v>
      </c>
      <c r="CK57" s="31">
        <v>0.84092289010321797</v>
      </c>
      <c r="CL57" s="31">
        <v>0.84878048780487803</v>
      </c>
      <c r="CM57" s="31">
        <v>0.88569643972517176</v>
      </c>
      <c r="CN57" s="31">
        <v>0.89949431099873578</v>
      </c>
      <c r="CO57" s="31">
        <v>0.88757026858213617</v>
      </c>
      <c r="CP57" s="31">
        <v>0.87052789623322047</v>
      </c>
      <c r="CQ57" s="31">
        <v>0.88416512630930377</v>
      </c>
      <c r="CR57" s="31">
        <v>0.85063752276867033</v>
      </c>
      <c r="CS57" s="31">
        <v>0.8716216216216216</v>
      </c>
      <c r="CT57" s="31">
        <v>0.86430317848410754</v>
      </c>
      <c r="CU57" s="31">
        <v>0.87016908212560384</v>
      </c>
      <c r="CV57" s="31">
        <v>0.85636031649421784</v>
      </c>
      <c r="CW57" s="31">
        <v>0.86634557495484643</v>
      </c>
      <c r="CX57" s="31">
        <v>0.86622891753691023</v>
      </c>
      <c r="CY57" s="31">
        <v>0.87143723468768952</v>
      </c>
      <c r="CZ57" s="31">
        <v>0.87897310513447435</v>
      </c>
      <c r="DA57" s="31">
        <v>0.80023571007660577</v>
      </c>
      <c r="DB57" s="31">
        <v>0.81202121390689452</v>
      </c>
      <c r="DC57" s="31">
        <v>0.89335770871419862</v>
      </c>
      <c r="DD57" s="31">
        <v>0.88665447897623395</v>
      </c>
      <c r="DE57" s="31">
        <v>0.89031078610603287</v>
      </c>
      <c r="DF57" s="31">
        <v>0.86185574822887567</v>
      </c>
      <c r="DG57" s="31">
        <v>0.81532890766445387</v>
      </c>
      <c r="DH57" s="31">
        <v>0.81968179139658215</v>
      </c>
      <c r="DI57" s="31">
        <v>0.79562906083874774</v>
      </c>
      <c r="DJ57" s="31">
        <v>0.80330773774365027</v>
      </c>
      <c r="DK57" s="31">
        <v>0.83845690174804099</v>
      </c>
      <c r="DL57" s="31">
        <v>0.85042219541616404</v>
      </c>
      <c r="DM57" s="31">
        <v>0.85126964933494553</v>
      </c>
      <c r="DN57" s="31">
        <v>0.82487089202036923</v>
      </c>
      <c r="DO57" s="31">
        <v>0.7932663910218547</v>
      </c>
      <c r="DP57" s="31">
        <v>0.81866509155345546</v>
      </c>
      <c r="DQ57" s="31">
        <v>0.83186951066499371</v>
      </c>
      <c r="DR57" s="31">
        <v>0.80371517027863781</v>
      </c>
      <c r="DS57" s="31">
        <v>0.80330773774365027</v>
      </c>
      <c r="DT57" s="31">
        <v>0.81453041937389248</v>
      </c>
      <c r="DU57" s="31">
        <v>0.83383685800604235</v>
      </c>
      <c r="DV57" s="31">
        <v>0.81417016837750378</v>
      </c>
      <c r="DW57" s="31">
        <v>0.88761904761904764</v>
      </c>
      <c r="DX57" s="31">
        <v>0.82977386934673369</v>
      </c>
      <c r="DY57" s="31">
        <v>0.85932527052832586</v>
      </c>
      <c r="DZ57" s="31">
        <v>0.83946700507614214</v>
      </c>
      <c r="EA57" s="31">
        <v>0.8775380710659898</v>
      </c>
      <c r="EB57" s="31">
        <v>0.83415841584158412</v>
      </c>
      <c r="EC57" s="31">
        <v>0.85376477909147475</v>
      </c>
      <c r="ED57" s="31">
        <v>0.85452092265275692</v>
      </c>
      <c r="EE57" s="31">
        <v>0.8561470215462611</v>
      </c>
      <c r="EF57" s="31">
        <v>0.85850253807106602</v>
      </c>
      <c r="EG57" s="31">
        <v>0.82855321861057996</v>
      </c>
      <c r="EH57" s="31">
        <v>0.82322910019144868</v>
      </c>
      <c r="EI57" s="31">
        <v>0.86857142857142855</v>
      </c>
      <c r="EJ57" s="31">
        <v>0.87928843710292248</v>
      </c>
      <c r="EK57" s="31">
        <v>0.87659033078880411</v>
      </c>
      <c r="EL57" s="31">
        <v>0.85584029641178716</v>
      </c>
    </row>
    <row r="58" spans="38:142" x14ac:dyDescent="0.35">
      <c r="AL58" s="19" t="s">
        <v>221</v>
      </c>
      <c r="AM58" s="31">
        <v>0.89624724061810157</v>
      </c>
      <c r="AN58" s="31">
        <v>0.84494382022471914</v>
      </c>
      <c r="AO58" s="31">
        <v>0.80528052805280526</v>
      </c>
      <c r="AP58" s="31">
        <v>0.83842794759825323</v>
      </c>
      <c r="AQ58" s="31">
        <v>0.82249173098125694</v>
      </c>
      <c r="AR58" s="31">
        <v>0.84804469273743022</v>
      </c>
      <c r="AS58" s="31">
        <v>0.91255605381165916</v>
      </c>
      <c r="AT58" s="31">
        <v>0.85257028771774646</v>
      </c>
      <c r="AU58" s="31">
        <v>0.88681318681318677</v>
      </c>
      <c r="AV58" s="31">
        <v>0.86145251396648048</v>
      </c>
      <c r="AW58" s="31">
        <v>0.85868392664509174</v>
      </c>
      <c r="AX58" s="31">
        <v>0.85104052573932087</v>
      </c>
      <c r="AY58" s="31">
        <v>0.85776805251641142</v>
      </c>
      <c r="AZ58" s="31">
        <v>0.88182831661092531</v>
      </c>
      <c r="BA58" s="31">
        <v>0.88913282107574099</v>
      </c>
      <c r="BB58" s="31">
        <v>0.86953133476673694</v>
      </c>
      <c r="BC58" s="31">
        <v>0.95628415300546443</v>
      </c>
      <c r="BD58" s="31">
        <v>0.86226203807390822</v>
      </c>
      <c r="BE58" s="31">
        <v>0.95519125683060113</v>
      </c>
      <c r="BF58" s="31">
        <v>0.90860215053763438</v>
      </c>
      <c r="BG58" s="31">
        <v>0.92748917748917747</v>
      </c>
      <c r="BH58" s="31">
        <v>0.93002257336343119</v>
      </c>
      <c r="BI58" s="31">
        <v>0.92613009922822487</v>
      </c>
      <c r="BJ58" s="31">
        <v>0.92371163550406299</v>
      </c>
      <c r="BK58" s="31">
        <v>0.9054347826086957</v>
      </c>
      <c r="BL58" s="31">
        <v>0.94666666666666666</v>
      </c>
      <c r="BM58" s="31">
        <v>0.90434782608695652</v>
      </c>
      <c r="BN58" s="31">
        <v>0.94673913043478264</v>
      </c>
      <c r="BO58" s="31">
        <v>0.92592592592592593</v>
      </c>
      <c r="BP58" s="31">
        <v>0.9625550660792952</v>
      </c>
      <c r="BQ58" s="31">
        <v>0.92008639308855289</v>
      </c>
      <c r="BR58" s="31">
        <v>0.93025082727012509</v>
      </c>
      <c r="BS58" s="31">
        <v>0.95176848874598075</v>
      </c>
      <c r="BT58" s="31">
        <v>0.93030973451327437</v>
      </c>
      <c r="BU58" s="31">
        <v>0.93513513513513513</v>
      </c>
      <c r="BV58" s="31">
        <v>0.93743257820927728</v>
      </c>
      <c r="BW58" s="31">
        <v>0.97264770240700216</v>
      </c>
      <c r="BX58" s="31">
        <v>0.96471885336273433</v>
      </c>
      <c r="BY58" s="31">
        <v>0.96432432432432436</v>
      </c>
      <c r="BZ58" s="31">
        <v>0.95090525952824678</v>
      </c>
      <c r="CA58" s="31">
        <v>0.92372881355932202</v>
      </c>
      <c r="CB58" s="31">
        <v>0.95661605206073752</v>
      </c>
      <c r="CC58" s="31">
        <v>0.87222808870116153</v>
      </c>
      <c r="CD58" s="31">
        <v>0.85924369747899154</v>
      </c>
      <c r="CE58" s="31">
        <v>0.93326271186440679</v>
      </c>
      <c r="CF58" s="31">
        <v>0.95896328293736499</v>
      </c>
      <c r="CG58" s="31">
        <v>0.93949044585987262</v>
      </c>
      <c r="CH58" s="31">
        <v>0.92050472749455092</v>
      </c>
      <c r="CI58" s="31">
        <v>0.91160220994475138</v>
      </c>
      <c r="CJ58" s="31">
        <v>0.90821771611526148</v>
      </c>
      <c r="CK58" s="31">
        <v>0.94511525795828755</v>
      </c>
      <c r="CL58" s="31">
        <v>0.93267108167770418</v>
      </c>
      <c r="CM58" s="31">
        <v>0.90533188248095753</v>
      </c>
      <c r="CN58" s="31">
        <v>0.9597388465723613</v>
      </c>
      <c r="CO58" s="31">
        <v>0.94627192982456143</v>
      </c>
      <c r="CP58" s="31">
        <v>0.92984984636769774</v>
      </c>
      <c r="CQ58" s="31">
        <v>0.88913043478260867</v>
      </c>
      <c r="CR58" s="31">
        <v>0.93612334801762109</v>
      </c>
      <c r="CS58" s="31">
        <v>0.89174705251875674</v>
      </c>
      <c r="CT58" s="31">
        <v>0.88469827586206895</v>
      </c>
      <c r="CU58" s="31">
        <v>0.89542483660130723</v>
      </c>
      <c r="CV58" s="31">
        <v>0.93369565217391304</v>
      </c>
      <c r="CW58" s="31">
        <v>0.93572984749455335</v>
      </c>
      <c r="CX58" s="31">
        <v>0.90950706392154701</v>
      </c>
      <c r="CY58" s="31">
        <v>0.83940042826552463</v>
      </c>
      <c r="CZ58" s="31">
        <v>0.88090128755364805</v>
      </c>
      <c r="DA58" s="31">
        <v>0.87969924812030076</v>
      </c>
      <c r="DB58" s="31">
        <v>0.85929108485499461</v>
      </c>
      <c r="DC58" s="31">
        <v>0.87179487179487181</v>
      </c>
      <c r="DD58" s="31">
        <v>0.91738197424892709</v>
      </c>
      <c r="DE58" s="31">
        <v>0.91952789699570814</v>
      </c>
      <c r="DF58" s="31">
        <v>0.88114239883342516</v>
      </c>
      <c r="DG58" s="31">
        <v>0.87473002159827218</v>
      </c>
      <c r="DH58" s="31">
        <v>0.89773950484391818</v>
      </c>
      <c r="DI58" s="31">
        <v>0.86295503211991431</v>
      </c>
      <c r="DJ58" s="31">
        <v>0.82428115015974446</v>
      </c>
      <c r="DK58" s="31">
        <v>0.85822510822510822</v>
      </c>
      <c r="DL58" s="31">
        <v>0.8827956989247312</v>
      </c>
      <c r="DM58" s="31">
        <v>0.89044038668098824</v>
      </c>
      <c r="DN58" s="31">
        <v>0.87016670036466803</v>
      </c>
      <c r="DO58" s="31">
        <v>0.87486033519553075</v>
      </c>
      <c r="DP58" s="31">
        <v>0.85698924731182791</v>
      </c>
      <c r="DQ58" s="31">
        <v>0.84451901565995524</v>
      </c>
      <c r="DR58" s="31">
        <v>0.82332955832389576</v>
      </c>
      <c r="DS58" s="31">
        <v>0.88568257491675917</v>
      </c>
      <c r="DT58" s="31">
        <v>0.87472766884531594</v>
      </c>
      <c r="DU58" s="31">
        <v>0.87444933920704848</v>
      </c>
      <c r="DV58" s="31">
        <v>0.86207967706576183</v>
      </c>
      <c r="DW58" s="31">
        <v>0.8</v>
      </c>
      <c r="DX58" s="31">
        <v>0.81848928974069901</v>
      </c>
      <c r="DY58" s="31">
        <v>0.8013392857142857</v>
      </c>
      <c r="DZ58" s="31">
        <v>0.77293064876957496</v>
      </c>
      <c r="EA58" s="31">
        <v>0.84711211778029449</v>
      </c>
      <c r="EB58" s="31">
        <v>0.856341189674523</v>
      </c>
      <c r="EC58" s="31">
        <v>0.8666666666666667</v>
      </c>
      <c r="ED58" s="31">
        <v>0.82326845690657779</v>
      </c>
      <c r="EE58" s="31">
        <v>0.79090909090909089</v>
      </c>
      <c r="EF58" s="31">
        <v>0.7670772676371781</v>
      </c>
      <c r="EG58" s="31">
        <v>0.79977116704805495</v>
      </c>
      <c r="EH58" s="31">
        <v>0.74520856820744086</v>
      </c>
      <c r="EI58" s="31">
        <v>0.83159117305458774</v>
      </c>
      <c r="EJ58" s="31">
        <v>0.80561797752808983</v>
      </c>
      <c r="EK58" s="31">
        <v>0.82906976744186045</v>
      </c>
      <c r="EL58" s="31">
        <v>0.79560643026090039</v>
      </c>
    </row>
    <row r="59" spans="38:142" x14ac:dyDescent="0.35">
      <c r="AL59" s="19" t="s">
        <v>110</v>
      </c>
      <c r="AM59" s="31">
        <v>0.85693848354792557</v>
      </c>
      <c r="AN59" s="31">
        <v>0.88133140376266283</v>
      </c>
      <c r="AO59" s="31">
        <v>0.79190751445086704</v>
      </c>
      <c r="AP59" s="31">
        <v>0.86297376093294464</v>
      </c>
      <c r="AQ59" s="31">
        <v>0.85115606936416188</v>
      </c>
      <c r="AR59" s="31">
        <v>0.88744588744588748</v>
      </c>
      <c r="AS59" s="31">
        <v>0.89111747851002865</v>
      </c>
      <c r="AT59" s="31">
        <v>0.86041008543063968</v>
      </c>
      <c r="AU59" s="31">
        <v>0.94272445820433437</v>
      </c>
      <c r="AV59" s="31">
        <v>0.87627365356622999</v>
      </c>
      <c r="AW59" s="31">
        <v>0.95510835913312697</v>
      </c>
      <c r="AX59" s="31">
        <v>0.94785276073619629</v>
      </c>
      <c r="AY59" s="31">
        <v>0.94444444444444442</v>
      </c>
      <c r="AZ59" s="31">
        <v>0.93364197530864201</v>
      </c>
      <c r="BA59" s="31">
        <v>0.94461538461538463</v>
      </c>
      <c r="BB59" s="31">
        <v>0.93495157657262262</v>
      </c>
      <c r="BC59" s="31">
        <v>0.94736842105263153</v>
      </c>
      <c r="BD59" s="31">
        <v>0.96060606060606057</v>
      </c>
      <c r="BE59" s="31">
        <v>0.87593423019431993</v>
      </c>
      <c r="BF59" s="31">
        <v>0.92481203007518797</v>
      </c>
      <c r="BG59" s="31">
        <v>0.96301775147928992</v>
      </c>
      <c r="BH59" s="31">
        <v>0.94336810730253351</v>
      </c>
      <c r="BI59" s="31">
        <v>0.94444444444444442</v>
      </c>
      <c r="BJ59" s="31">
        <v>0.93707872073635257</v>
      </c>
      <c r="BK59" s="31">
        <v>0.84474885844748859</v>
      </c>
      <c r="BL59" s="31">
        <v>0.93255131964809379</v>
      </c>
      <c r="BM59" s="31">
        <v>0.88496932515337423</v>
      </c>
      <c r="BN59" s="31">
        <v>0.93333333333333335</v>
      </c>
      <c r="BO59" s="31">
        <v>0.90827067669172934</v>
      </c>
      <c r="BP59" s="31">
        <v>0.95216741405082217</v>
      </c>
      <c r="BQ59" s="31">
        <v>0.93712574850299402</v>
      </c>
      <c r="BR59" s="31">
        <v>0.91330952511826236</v>
      </c>
      <c r="BS59" s="31">
        <v>0.93342579750346744</v>
      </c>
      <c r="BT59" s="31">
        <v>0.94752186588921283</v>
      </c>
      <c r="BU59" s="31">
        <v>0.94825174825174829</v>
      </c>
      <c r="BV59" s="31">
        <v>0.95909732016925242</v>
      </c>
      <c r="BW59" s="31">
        <v>0.9509803921568627</v>
      </c>
      <c r="BX59" s="31">
        <v>0.93935119887165019</v>
      </c>
      <c r="BY59" s="31">
        <v>0.9543568464730291</v>
      </c>
      <c r="BZ59" s="31">
        <v>0.94756930990217481</v>
      </c>
      <c r="CA59" s="31">
        <v>0.9494949494949495</v>
      </c>
      <c r="CB59" s="31">
        <v>0.96801112656467314</v>
      </c>
      <c r="CC59" s="31">
        <v>0.94277539341917027</v>
      </c>
      <c r="CD59" s="31">
        <v>0.96861626248216837</v>
      </c>
      <c r="CE59" s="31">
        <v>0.96</v>
      </c>
      <c r="CF59" s="31">
        <v>0.95977808599167824</v>
      </c>
      <c r="CG59" s="31">
        <v>0.96742209631728049</v>
      </c>
      <c r="CH59" s="31">
        <v>0.95944255918141708</v>
      </c>
      <c r="CI59" s="31">
        <v>0.95414201183431957</v>
      </c>
      <c r="CJ59" s="31">
        <v>0.95676429567642962</v>
      </c>
      <c r="CK59" s="31">
        <v>0.93553223388305851</v>
      </c>
      <c r="CL59" s="31">
        <v>0.92530487804878048</v>
      </c>
      <c r="CM59" s="31">
        <v>0.96463932107496464</v>
      </c>
      <c r="CN59" s="31">
        <v>0.95961002785515326</v>
      </c>
      <c r="CO59" s="31">
        <v>0.96751412429378536</v>
      </c>
      <c r="CP59" s="31">
        <v>0.95192955609521313</v>
      </c>
      <c r="CQ59" s="31">
        <v>0.92888888888888888</v>
      </c>
      <c r="CR59" s="31">
        <v>0.92388059701492542</v>
      </c>
      <c r="CS59" s="31">
        <v>0.9107142857142857</v>
      </c>
      <c r="CT59" s="31">
        <v>0.91492537313432831</v>
      </c>
      <c r="CU59" s="31">
        <v>0.92686567164179101</v>
      </c>
      <c r="CV59" s="31">
        <v>0.95052473763118439</v>
      </c>
      <c r="CW59" s="31">
        <v>0.93067846607669613</v>
      </c>
      <c r="CX59" s="31">
        <v>0.92663971715744275</v>
      </c>
      <c r="CY59" s="31">
        <v>0.87227414330218067</v>
      </c>
      <c r="CZ59" s="31">
        <v>0.92592592592592593</v>
      </c>
      <c r="DA59" s="31">
        <v>0.86356589147286822</v>
      </c>
      <c r="DB59" s="31">
        <v>0.85891472868217056</v>
      </c>
      <c r="DC59" s="31">
        <v>0.85823170731707321</v>
      </c>
      <c r="DD59" s="31">
        <v>0.89792899408284022</v>
      </c>
      <c r="DE59" s="31">
        <v>0.89205397301349321</v>
      </c>
      <c r="DF59" s="31">
        <v>0.88127076625665013</v>
      </c>
      <c r="DG59" s="31">
        <v>0.890625</v>
      </c>
      <c r="DH59" s="31">
        <v>0.88888888888888884</v>
      </c>
      <c r="DI59" s="31">
        <v>0.90266875981161698</v>
      </c>
      <c r="DJ59" s="31">
        <v>0.86825396825396828</v>
      </c>
      <c r="DK59" s="31">
        <v>0.87381703470031546</v>
      </c>
      <c r="DL59" s="31">
        <v>0.89751552795031053</v>
      </c>
      <c r="DM59" s="31">
        <v>0.89703588143525737</v>
      </c>
      <c r="DN59" s="31">
        <v>0.88840072300576534</v>
      </c>
      <c r="DO59" s="31">
        <v>0.88529886914378031</v>
      </c>
      <c r="DP59" s="31">
        <v>0.85555555555555551</v>
      </c>
      <c r="DQ59" s="31">
        <v>0.82930756843800324</v>
      </c>
      <c r="DR59" s="31">
        <v>0.86569579288025889</v>
      </c>
      <c r="DS59" s="31">
        <v>0.87459283387622155</v>
      </c>
      <c r="DT59" s="31">
        <v>0.84602917341977313</v>
      </c>
      <c r="DU59" s="31">
        <v>0.8725806451612903</v>
      </c>
      <c r="DV59" s="31">
        <v>0.86129434835355467</v>
      </c>
      <c r="DW59" s="31">
        <v>0.89838709677419359</v>
      </c>
      <c r="DX59" s="31">
        <v>0.88025889967637538</v>
      </c>
      <c r="DY59" s="31">
        <v>0.86407766990291257</v>
      </c>
      <c r="DZ59" s="31">
        <v>0.85436893203883491</v>
      </c>
      <c r="EA59" s="31">
        <v>0.8715890850722311</v>
      </c>
      <c r="EB59" s="31">
        <v>0.86935483870967745</v>
      </c>
      <c r="EC59" s="31">
        <v>0.89210950080515294</v>
      </c>
      <c r="ED59" s="31">
        <v>0.87573514613991121</v>
      </c>
      <c r="EE59" s="31">
        <v>0.88091353996737354</v>
      </c>
      <c r="EF59" s="31">
        <v>0.8924558587479936</v>
      </c>
      <c r="EG59" s="31">
        <v>0.87234042553191493</v>
      </c>
      <c r="EH59" s="31">
        <v>0.87234042553191493</v>
      </c>
      <c r="EI59" s="31">
        <v>0.88368336025848138</v>
      </c>
      <c r="EJ59" s="31">
        <v>0.91800643086816724</v>
      </c>
      <c r="EK59" s="31">
        <v>0.9117174959871589</v>
      </c>
      <c r="EL59" s="31">
        <v>0.89020821955614349</v>
      </c>
    </row>
    <row r="60" spans="38:142" x14ac:dyDescent="0.35">
      <c r="AL60" s="19" t="s">
        <v>111</v>
      </c>
      <c r="AM60" s="31">
        <v>0.86612810155799191</v>
      </c>
      <c r="AN60" s="31">
        <v>0.87990626830697127</v>
      </c>
      <c r="AO60" s="31">
        <v>0.86442641946697563</v>
      </c>
      <c r="AP60" s="31">
        <v>0.87160208212839796</v>
      </c>
      <c r="AQ60" s="31">
        <v>0.84742857142857142</v>
      </c>
      <c r="AR60" s="31">
        <v>0.87616279069767444</v>
      </c>
      <c r="AS60" s="31">
        <v>0.88060570762958645</v>
      </c>
      <c r="AT60" s="31">
        <v>0.86946570588802419</v>
      </c>
      <c r="AU60" s="31">
        <v>0.89538281706604328</v>
      </c>
      <c r="AV60" s="31">
        <v>0.86554132712456344</v>
      </c>
      <c r="AW60" s="31">
        <v>0.85623188405797102</v>
      </c>
      <c r="AX60" s="31">
        <v>0.90258215962441313</v>
      </c>
      <c r="AY60" s="31">
        <v>0.85959885386819479</v>
      </c>
      <c r="AZ60" s="31">
        <v>0.86786961583236322</v>
      </c>
      <c r="BA60" s="31">
        <v>0.88546511627906976</v>
      </c>
      <c r="BB60" s="31">
        <v>0.87609596769323128</v>
      </c>
      <c r="BC60" s="31">
        <v>0.87025131502045583</v>
      </c>
      <c r="BD60" s="31">
        <v>0.89289871944121069</v>
      </c>
      <c r="BE60" s="31">
        <v>0.85474537037037035</v>
      </c>
      <c r="BF60" s="31">
        <v>0.8777520278099652</v>
      </c>
      <c r="BG60" s="31">
        <v>0.87332165791009919</v>
      </c>
      <c r="BH60" s="31">
        <v>0.89834515366430256</v>
      </c>
      <c r="BI60" s="31">
        <v>0.87651471436814776</v>
      </c>
      <c r="BJ60" s="31">
        <v>0.87768985122636445</v>
      </c>
      <c r="BK60" s="31">
        <v>0.73697118332311462</v>
      </c>
      <c r="BL60" s="31">
        <v>0.89049826187717263</v>
      </c>
      <c r="BM60" s="31">
        <v>0.75478690549722049</v>
      </c>
      <c r="BN60" s="31">
        <v>0.79776674937965264</v>
      </c>
      <c r="BO60" s="31">
        <v>0.80654761904761907</v>
      </c>
      <c r="BP60" s="31">
        <v>0.8461091753774681</v>
      </c>
      <c r="BQ60" s="31">
        <v>0.84896755162241888</v>
      </c>
      <c r="BR60" s="31">
        <v>0.81166392087495232</v>
      </c>
      <c r="BS60" s="31">
        <v>0.79643916913946589</v>
      </c>
      <c r="BT60" s="31">
        <v>0.81406727828746173</v>
      </c>
      <c r="BU60" s="31">
        <v>0.77953216374269008</v>
      </c>
      <c r="BV60" s="31">
        <v>0.81742243436754181</v>
      </c>
      <c r="BW60" s="31">
        <v>0.84473527662105885</v>
      </c>
      <c r="BX60" s="31">
        <v>0.83402985074626868</v>
      </c>
      <c r="BY60" s="31">
        <v>0.82720373613543496</v>
      </c>
      <c r="BZ60" s="31">
        <v>0.81620427271998885</v>
      </c>
      <c r="CA60" s="31">
        <v>0.86630695443645089</v>
      </c>
      <c r="CB60" s="31">
        <v>0.86028537455410226</v>
      </c>
      <c r="CC60" s="31">
        <v>0.8447461629279811</v>
      </c>
      <c r="CD60" s="31">
        <v>0.85250737463126847</v>
      </c>
      <c r="CE60" s="31">
        <v>0.84761904761904761</v>
      </c>
      <c r="CF60" s="31">
        <v>0.85791044776119407</v>
      </c>
      <c r="CG60" s="31">
        <v>0.8447461629279811</v>
      </c>
      <c r="CH60" s="31">
        <v>0.85344593212257513</v>
      </c>
      <c r="CI60" s="31">
        <v>0.8239104829210836</v>
      </c>
      <c r="CJ60" s="31">
        <v>0.85985066053991954</v>
      </c>
      <c r="CK60" s="31">
        <v>0.78689492325855959</v>
      </c>
      <c r="CL60" s="31">
        <v>0.80023995200959808</v>
      </c>
      <c r="CM60" s="31">
        <v>0.82030338389731627</v>
      </c>
      <c r="CN60" s="31">
        <v>0.86555106751298327</v>
      </c>
      <c r="CO60" s="31">
        <v>0.82065834279228145</v>
      </c>
      <c r="CP60" s="31">
        <v>0.82534411613310588</v>
      </c>
      <c r="CQ60" s="31">
        <v>0.82569360675512671</v>
      </c>
      <c r="CR60" s="31">
        <v>0.80217785843920142</v>
      </c>
      <c r="CS60" s="31">
        <v>0.80727272727272725</v>
      </c>
      <c r="CT60" s="31">
        <v>0.79108970499698972</v>
      </c>
      <c r="CU60" s="31">
        <v>0.86087484811664639</v>
      </c>
      <c r="CV60" s="31">
        <v>0.82923906530856806</v>
      </c>
      <c r="CW60" s="31">
        <v>0.84166666666666667</v>
      </c>
      <c r="CX60" s="31">
        <v>0.82257349679370384</v>
      </c>
      <c r="CY60" s="31">
        <v>0.85722855428914213</v>
      </c>
      <c r="CZ60" s="31">
        <v>0.80915576694411417</v>
      </c>
      <c r="DA60" s="31">
        <v>0.85585585585585588</v>
      </c>
      <c r="DB60" s="31">
        <v>0.84417910447761191</v>
      </c>
      <c r="DC60" s="31">
        <v>0.84597156398104267</v>
      </c>
      <c r="DD60" s="31">
        <v>0.81600467289719625</v>
      </c>
      <c r="DE60" s="31">
        <v>0.83580320094842919</v>
      </c>
      <c r="DF60" s="31">
        <v>0.8377426741990559</v>
      </c>
      <c r="DG60" s="31">
        <v>0.82317073170731703</v>
      </c>
      <c r="DH60" s="31">
        <v>0.84066587395957193</v>
      </c>
      <c r="DI60" s="31">
        <v>0.81031307550644571</v>
      </c>
      <c r="DJ60" s="31">
        <v>0.82092307692307698</v>
      </c>
      <c r="DK60" s="31">
        <v>0.8177429088714544</v>
      </c>
      <c r="DL60" s="31">
        <v>0.83959451401311869</v>
      </c>
      <c r="DM60" s="31">
        <v>0.82884500299222019</v>
      </c>
      <c r="DN60" s="31">
        <v>0.82589359771045789</v>
      </c>
      <c r="DO60" s="31">
        <v>0.84378843788437885</v>
      </c>
      <c r="DP60" s="31">
        <v>0.84437689969604868</v>
      </c>
      <c r="DQ60" s="31">
        <v>0.8204204204204204</v>
      </c>
      <c r="DR60" s="31">
        <v>0.82239614689945817</v>
      </c>
      <c r="DS60" s="31">
        <v>0.84798534798534797</v>
      </c>
      <c r="DT60" s="31">
        <v>0.87202925045703839</v>
      </c>
      <c r="DU60" s="31">
        <v>0.84457831325301203</v>
      </c>
      <c r="DV60" s="31">
        <v>0.84222497379938643</v>
      </c>
      <c r="DW60" s="31">
        <v>0.87507654623392528</v>
      </c>
      <c r="DX60" s="31">
        <v>0.84077201447527139</v>
      </c>
      <c r="DY60" s="31">
        <v>0.82679541339770668</v>
      </c>
      <c r="DZ60" s="31">
        <v>0.81235011990407668</v>
      </c>
      <c r="EA60" s="31">
        <v>0.85645063597819504</v>
      </c>
      <c r="EB60" s="31">
        <v>0.86007237635705669</v>
      </c>
      <c r="EC60" s="31">
        <v>0.85430463576158944</v>
      </c>
      <c r="ED60" s="31">
        <v>0.84654596315826025</v>
      </c>
      <c r="EE60" s="31">
        <v>0.83014354066985641</v>
      </c>
      <c r="EF60" s="31">
        <v>0.83193277310924374</v>
      </c>
      <c r="EG60" s="31">
        <v>0.77434679334916867</v>
      </c>
      <c r="EH60" s="31">
        <v>0.77731591448931114</v>
      </c>
      <c r="EI60" s="31">
        <v>0.84100418410041844</v>
      </c>
      <c r="EJ60" s="31">
        <v>0.85431654676258995</v>
      </c>
      <c r="EK60" s="31">
        <v>0.85404101326899884</v>
      </c>
      <c r="EL60" s="31">
        <v>0.82330010939279819</v>
      </c>
    </row>
    <row r="61" spans="38:142" x14ac:dyDescent="0.35">
      <c r="AL61" s="19" t="s">
        <v>112</v>
      </c>
      <c r="AM61" s="31">
        <v>0.79481132075471694</v>
      </c>
      <c r="AN61" s="31">
        <v>0.96575342465753422</v>
      </c>
      <c r="AO61" s="31">
        <v>0.81508515815085159</v>
      </c>
      <c r="AP61" s="31">
        <v>0.85185185185185186</v>
      </c>
      <c r="AQ61" s="31">
        <v>0.86744186046511629</v>
      </c>
      <c r="AR61" s="31">
        <v>0.92396313364055305</v>
      </c>
      <c r="AS61" s="31">
        <v>0.90092165898617516</v>
      </c>
      <c r="AT61" s="31">
        <v>0.87426120121525697</v>
      </c>
      <c r="AU61" s="31">
        <v>0.85922330097087374</v>
      </c>
      <c r="AV61" s="31">
        <v>0.88968824940047964</v>
      </c>
      <c r="AW61" s="31">
        <v>0.85011709601873531</v>
      </c>
      <c r="AX61" s="31">
        <v>0.85382830626450112</v>
      </c>
      <c r="AY61" s="31">
        <v>0.85817307692307687</v>
      </c>
      <c r="AZ61" s="31">
        <v>0.88470588235294123</v>
      </c>
      <c r="BA61" s="31">
        <v>0.9</v>
      </c>
      <c r="BB61" s="31">
        <v>0.87081941599008683</v>
      </c>
      <c r="BC61" s="31">
        <v>0.89086859688195996</v>
      </c>
      <c r="BD61" s="31">
        <v>0.88657407407407407</v>
      </c>
      <c r="BE61" s="31">
        <v>0.8699551569506726</v>
      </c>
      <c r="BF61" s="31">
        <v>0.89910313901345296</v>
      </c>
      <c r="BG61" s="31">
        <v>0.89662921348314606</v>
      </c>
      <c r="BH61" s="31">
        <v>0.87414187643020591</v>
      </c>
      <c r="BI61" s="31">
        <v>0.8683035714285714</v>
      </c>
      <c r="BJ61" s="31">
        <v>0.88365366118029753</v>
      </c>
      <c r="BK61" s="31">
        <v>0.79953917050691248</v>
      </c>
      <c r="BL61" s="31">
        <v>0.90090090090090091</v>
      </c>
      <c r="BM61" s="31">
        <v>0.81818181818181823</v>
      </c>
      <c r="BN61" s="31">
        <v>0.89655172413793105</v>
      </c>
      <c r="BO61" s="31">
        <v>0.85193621867881553</v>
      </c>
      <c r="BP61" s="31">
        <v>0.90112359550561794</v>
      </c>
      <c r="BQ61" s="31">
        <v>0.86590909090909096</v>
      </c>
      <c r="BR61" s="31">
        <v>0.86202035983158376</v>
      </c>
      <c r="BS61" s="31">
        <v>0.82405345211581293</v>
      </c>
      <c r="BT61" s="31">
        <v>0.90293453724604966</v>
      </c>
      <c r="BU61" s="31">
        <v>0.87415730337078656</v>
      </c>
      <c r="BV61" s="31">
        <v>0.88764044943820219</v>
      </c>
      <c r="BW61" s="31">
        <v>0.86859688195991092</v>
      </c>
      <c r="BX61" s="31">
        <v>0.90476190476190477</v>
      </c>
      <c r="BY61" s="31">
        <v>0.89910313901345296</v>
      </c>
      <c r="BZ61" s="31">
        <v>0.8801782382723029</v>
      </c>
      <c r="CA61" s="31">
        <v>0.85746606334841624</v>
      </c>
      <c r="CB61" s="31">
        <v>0.92017738359201773</v>
      </c>
      <c r="CC61" s="31">
        <v>0.82863340563991328</v>
      </c>
      <c r="CD61" s="31">
        <v>0.87252747252747254</v>
      </c>
      <c r="CE61" s="31">
        <v>0.86301369863013699</v>
      </c>
      <c r="CF61" s="31">
        <v>0.89140271493212675</v>
      </c>
      <c r="CG61" s="31">
        <v>0.86936936936936937</v>
      </c>
      <c r="CH61" s="31">
        <v>0.87179858686277911</v>
      </c>
      <c r="CI61" s="31">
        <v>0.87931034482758619</v>
      </c>
      <c r="CJ61" s="31">
        <v>0.90631808278867099</v>
      </c>
      <c r="CK61" s="31">
        <v>0.83440860215053758</v>
      </c>
      <c r="CL61" s="31">
        <v>0.88050314465408808</v>
      </c>
      <c r="CM61" s="31">
        <v>0.87656903765690375</v>
      </c>
      <c r="CN61" s="31">
        <v>0.8995726495726496</v>
      </c>
      <c r="CO61" s="31">
        <v>0.89894736842105261</v>
      </c>
      <c r="CP61" s="31">
        <v>0.88223274715306965</v>
      </c>
      <c r="CQ61" s="31">
        <v>0.8905579399141631</v>
      </c>
      <c r="CR61" s="31">
        <v>0.91404612159329135</v>
      </c>
      <c r="CS61" s="31">
        <v>0.87447698744769875</v>
      </c>
      <c r="CT61" s="31">
        <v>0.86929460580912865</v>
      </c>
      <c r="CU61" s="31">
        <v>0.89171974522292996</v>
      </c>
      <c r="CV61" s="31">
        <v>0.91004184100418406</v>
      </c>
      <c r="CW61" s="31">
        <v>0.88396624472573837</v>
      </c>
      <c r="CX61" s="31">
        <v>0.89058621224530488</v>
      </c>
      <c r="CY61" s="31">
        <v>0.84468085106382984</v>
      </c>
      <c r="CZ61" s="31">
        <v>0.89049586776859502</v>
      </c>
      <c r="DA61" s="31">
        <v>0.83982683982683981</v>
      </c>
      <c r="DB61" s="31">
        <v>0.85129310344827591</v>
      </c>
      <c r="DC61" s="31">
        <v>0.84100418410041844</v>
      </c>
      <c r="DD61" s="31">
        <v>0.88888888888888884</v>
      </c>
      <c r="DE61" s="31">
        <v>0.83682008368200833</v>
      </c>
      <c r="DF61" s="31">
        <v>0.85614425982555076</v>
      </c>
      <c r="DG61" s="31">
        <v>0.82127659574468082</v>
      </c>
      <c r="DH61" s="31">
        <v>0.84267241379310343</v>
      </c>
      <c r="DI61" s="31">
        <v>0.79193205944798306</v>
      </c>
      <c r="DJ61" s="31">
        <v>0.7923728813559322</v>
      </c>
      <c r="DK61" s="31">
        <v>0.83549783549783552</v>
      </c>
      <c r="DL61" s="31">
        <v>0.85745140388768903</v>
      </c>
      <c r="DM61" s="31">
        <v>0.86521739130434783</v>
      </c>
      <c r="DN61" s="31">
        <v>0.82948865443308173</v>
      </c>
      <c r="DO61" s="31">
        <v>0.83836206896551724</v>
      </c>
      <c r="DP61" s="31">
        <v>0.82590233545647562</v>
      </c>
      <c r="DQ61" s="31">
        <v>0.85403050108932466</v>
      </c>
      <c r="DR61" s="31">
        <v>0.84815618221258138</v>
      </c>
      <c r="DS61" s="31">
        <v>0.82505399568034554</v>
      </c>
      <c r="DT61" s="31">
        <v>0.83155650319829422</v>
      </c>
      <c r="DU61" s="31">
        <v>0.82692307692307687</v>
      </c>
      <c r="DV61" s="31">
        <v>0.83571209478937358</v>
      </c>
      <c r="DW61" s="31">
        <v>0.8283261802575107</v>
      </c>
      <c r="DX61" s="31">
        <v>0.79744136460554371</v>
      </c>
      <c r="DY61" s="31">
        <v>0.82894736842105265</v>
      </c>
      <c r="DZ61" s="31">
        <v>0.8493449781659389</v>
      </c>
      <c r="EA61" s="31">
        <v>0.83690987124463523</v>
      </c>
      <c r="EB61" s="31">
        <v>0.83617021276595749</v>
      </c>
      <c r="EC61" s="31">
        <v>0.83982683982683981</v>
      </c>
      <c r="ED61" s="31">
        <v>0.83099525932678264</v>
      </c>
      <c r="EE61" s="31">
        <v>0.85307017543859653</v>
      </c>
      <c r="EF61" s="31">
        <v>0.89277899343544853</v>
      </c>
      <c r="EG61" s="31">
        <v>0.78336980306345738</v>
      </c>
      <c r="EH61" s="31">
        <v>0.79084967320261434</v>
      </c>
      <c r="EI61" s="31">
        <v>0.87229437229437234</v>
      </c>
      <c r="EJ61" s="31">
        <v>0.87991266375545851</v>
      </c>
      <c r="EK61" s="31">
        <v>0.89804772234273322</v>
      </c>
      <c r="EL61" s="31">
        <v>0.85290334336181151</v>
      </c>
    </row>
    <row r="62" spans="38:142" x14ac:dyDescent="0.35">
      <c r="AL62" s="19" t="s">
        <v>432</v>
      </c>
      <c r="AM62" s="31">
        <v>0.83613202084539662</v>
      </c>
      <c r="AN62" s="31">
        <v>0.82485549132947977</v>
      </c>
      <c r="AO62" s="31">
        <v>0.82138728323699417</v>
      </c>
      <c r="AP62" s="31">
        <v>0.81492192018507803</v>
      </c>
      <c r="AQ62" s="31">
        <v>0.82995951417004044</v>
      </c>
      <c r="AR62" s="31">
        <v>0.82986111111111116</v>
      </c>
      <c r="AS62" s="31">
        <v>0.8467322151532678</v>
      </c>
      <c r="AT62" s="31">
        <v>0.82912136514733825</v>
      </c>
      <c r="AU62" s="31">
        <v>0.82786413356361543</v>
      </c>
      <c r="AV62" s="31">
        <v>0.86697513013302485</v>
      </c>
      <c r="AW62" s="31">
        <v>0.81268011527377526</v>
      </c>
      <c r="AX62" s="31">
        <v>0.83746397694524499</v>
      </c>
      <c r="AY62" s="31">
        <v>0.8529411764705882</v>
      </c>
      <c r="AZ62" s="31">
        <v>0.85681293302540418</v>
      </c>
      <c r="BA62" s="31">
        <v>0.86836027713625863</v>
      </c>
      <c r="BB62" s="31">
        <v>0.84615682036398743</v>
      </c>
      <c r="BC62" s="31">
        <v>0.83926521239954077</v>
      </c>
      <c r="BD62" s="31">
        <v>0.86332179930795849</v>
      </c>
      <c r="BE62" s="31">
        <v>0.80322209436133485</v>
      </c>
      <c r="BF62" s="31">
        <v>0.79942363112391934</v>
      </c>
      <c r="BG62" s="31">
        <v>0.85089234312032236</v>
      </c>
      <c r="BH62" s="31">
        <v>0.86816350028785261</v>
      </c>
      <c r="BI62" s="31">
        <v>0.86298215313759352</v>
      </c>
      <c r="BJ62" s="31">
        <v>0.84103867624836026</v>
      </c>
      <c r="BK62" s="31">
        <v>0.71469907407407407</v>
      </c>
      <c r="BL62" s="31">
        <v>0.83515850144092219</v>
      </c>
      <c r="BM62" s="31">
        <v>0.74538106235565815</v>
      </c>
      <c r="BN62" s="31">
        <v>0.78250863060989639</v>
      </c>
      <c r="BO62" s="31">
        <v>0.789838337182448</v>
      </c>
      <c r="BP62" s="31">
        <v>0.82977495672244661</v>
      </c>
      <c r="BQ62" s="31">
        <v>0.82064590542099192</v>
      </c>
      <c r="BR62" s="31">
        <v>0.78828663825806244</v>
      </c>
      <c r="BS62" s="31">
        <v>0.81691772885283898</v>
      </c>
      <c r="BT62" s="31">
        <v>0.82037996545768566</v>
      </c>
      <c r="BU62" s="31">
        <v>0.82696759259259256</v>
      </c>
      <c r="BV62" s="31">
        <v>0.84615384615384615</v>
      </c>
      <c r="BW62" s="31">
        <v>0.84758580570098896</v>
      </c>
      <c r="BX62" s="31">
        <v>0.85491329479768785</v>
      </c>
      <c r="BY62" s="31">
        <v>0.86964078794901511</v>
      </c>
      <c r="BZ62" s="31">
        <v>0.84036557450066496</v>
      </c>
      <c r="CA62" s="31">
        <v>0.85071942446043169</v>
      </c>
      <c r="CB62" s="31">
        <v>0.85955710955710951</v>
      </c>
      <c r="CC62" s="31">
        <v>0.81986834230999406</v>
      </c>
      <c r="CD62" s="31">
        <v>0.85139135583185321</v>
      </c>
      <c r="CE62" s="31">
        <v>0.87179487179487181</v>
      </c>
      <c r="CF62" s="31">
        <v>0.86208920187793425</v>
      </c>
      <c r="CG62" s="31">
        <v>0.86192714453584018</v>
      </c>
      <c r="CH62" s="31">
        <v>0.85390677862400499</v>
      </c>
      <c r="CI62" s="31">
        <v>0.83802376485303309</v>
      </c>
      <c r="CJ62" s="31">
        <v>0.84770969660916118</v>
      </c>
      <c r="CK62" s="31">
        <v>0.5493042952208107</v>
      </c>
      <c r="CL62" s="31">
        <v>0.73636363636363633</v>
      </c>
      <c r="CM62" s="31">
        <v>0.82592360676268006</v>
      </c>
      <c r="CN62" s="31">
        <v>0.83730631704410008</v>
      </c>
      <c r="CO62" s="31">
        <v>0.78138138138138136</v>
      </c>
      <c r="CP62" s="31">
        <v>0.77371609974782896</v>
      </c>
      <c r="CQ62" s="31">
        <v>0.84480519480519478</v>
      </c>
      <c r="CR62" s="31">
        <v>0.82527401676337842</v>
      </c>
      <c r="CS62" s="31">
        <v>0.85061171925305856</v>
      </c>
      <c r="CT62" s="31">
        <v>0.85213511790949648</v>
      </c>
      <c r="CU62" s="31">
        <v>0.83428935627788403</v>
      </c>
      <c r="CV62" s="31">
        <v>0.83845650752125567</v>
      </c>
      <c r="CW62" s="31">
        <v>0.84135240572171655</v>
      </c>
      <c r="CX62" s="31">
        <v>0.84098918832171221</v>
      </c>
      <c r="CY62" s="31">
        <v>0.79635449402891267</v>
      </c>
      <c r="CZ62" s="31">
        <v>0.84751102709514803</v>
      </c>
      <c r="DA62" s="31">
        <v>0.79211697393515579</v>
      </c>
      <c r="DB62" s="31">
        <v>0.78873239436619713</v>
      </c>
      <c r="DC62" s="31">
        <v>0.82247765006385698</v>
      </c>
      <c r="DD62" s="31">
        <v>0.86119873817034698</v>
      </c>
      <c r="DE62" s="31">
        <v>0.83897243107769426</v>
      </c>
      <c r="DF62" s="31">
        <v>0.82105195839104461</v>
      </c>
      <c r="DG62" s="31">
        <v>0.82849936948297609</v>
      </c>
      <c r="DH62" s="31">
        <v>0.84082156611039793</v>
      </c>
      <c r="DI62" s="31">
        <v>0.80645161290322576</v>
      </c>
      <c r="DJ62" s="31">
        <v>0.80771663504111324</v>
      </c>
      <c r="DK62" s="31">
        <v>0.85018963337547404</v>
      </c>
      <c r="DL62" s="31">
        <v>0.84882985452245419</v>
      </c>
      <c r="DM62" s="31">
        <v>0.83648989898989901</v>
      </c>
      <c r="DN62" s="31">
        <v>0.83128551006079132</v>
      </c>
      <c r="DO62" s="31">
        <v>0.78366305041480533</v>
      </c>
      <c r="DP62" s="31">
        <v>0.8186986734049273</v>
      </c>
      <c r="DQ62" s="31">
        <v>0.77634130575307048</v>
      </c>
      <c r="DR62" s="31">
        <v>0.77117000646412415</v>
      </c>
      <c r="DS62" s="31">
        <v>0.81660231660231664</v>
      </c>
      <c r="DT62" s="31">
        <v>0.82476190476190481</v>
      </c>
      <c r="DU62" s="31">
        <v>0.81580624601657104</v>
      </c>
      <c r="DV62" s="31">
        <v>0.80100621477395995</v>
      </c>
      <c r="DW62" s="31">
        <v>0.77594936708860762</v>
      </c>
      <c r="DX62" s="31">
        <v>0.81221864951768485</v>
      </c>
      <c r="DY62" s="31">
        <v>0.78156565656565657</v>
      </c>
      <c r="DZ62" s="31">
        <v>0.80290587492103604</v>
      </c>
      <c r="EA62" s="31">
        <v>0.77967171717171713</v>
      </c>
      <c r="EB62" s="31">
        <v>0.84293193717277481</v>
      </c>
      <c r="EC62" s="31">
        <v>0.81153846153846154</v>
      </c>
      <c r="ED62" s="31">
        <v>0.8009688091394197</v>
      </c>
      <c r="EE62" s="31">
        <v>0.84470882905447719</v>
      </c>
      <c r="EF62" s="31">
        <v>0.84673844205193161</v>
      </c>
      <c r="EG62" s="31">
        <v>0.79713752333540755</v>
      </c>
      <c r="EH62" s="31">
        <v>0.79775980087118858</v>
      </c>
      <c r="EI62" s="31">
        <v>0.85222291797119598</v>
      </c>
      <c r="EJ62" s="31">
        <v>0.85977157360406087</v>
      </c>
      <c r="EK62" s="31">
        <v>0.85536159600997508</v>
      </c>
      <c r="EL62" s="31">
        <v>0.83624295469974819</v>
      </c>
    </row>
    <row r="63" spans="38:142" x14ac:dyDescent="0.35">
      <c r="AL63" s="19" t="s">
        <v>113</v>
      </c>
      <c r="AM63" s="31">
        <v>0.85059760956175301</v>
      </c>
      <c r="AN63" s="31">
        <v>0.97234042553191491</v>
      </c>
      <c r="AO63" s="31">
        <v>0.91035856573705176</v>
      </c>
      <c r="AP63" s="31">
        <v>0.92241379310344829</v>
      </c>
      <c r="AQ63" s="31">
        <v>0.98669623059866962</v>
      </c>
      <c r="AR63" s="31">
        <v>0.99574468085106382</v>
      </c>
      <c r="AS63" s="31">
        <v>0.87216494845360826</v>
      </c>
      <c r="AT63" s="31">
        <v>0.93004517911964424</v>
      </c>
      <c r="AU63" s="31">
        <v>0.86811023622047245</v>
      </c>
      <c r="AV63" s="31">
        <v>0.93855932203389836</v>
      </c>
      <c r="AW63" s="31">
        <v>0.90822179732313579</v>
      </c>
      <c r="AX63" s="31">
        <v>0.8571428571428571</v>
      </c>
      <c r="AY63" s="31">
        <v>0.90101010101010104</v>
      </c>
      <c r="AZ63" s="31">
        <v>0.92765957446808511</v>
      </c>
      <c r="BA63" s="31">
        <v>0.93995859213250521</v>
      </c>
      <c r="BB63" s="31">
        <v>0.90580892576157923</v>
      </c>
      <c r="BC63" s="31">
        <v>0.92430278884462147</v>
      </c>
      <c r="BD63" s="31">
        <v>0.86679920477137173</v>
      </c>
      <c r="BE63" s="31">
        <v>0.88185654008438819</v>
      </c>
      <c r="BF63" s="31">
        <v>0.88593155893536124</v>
      </c>
      <c r="BG63" s="31">
        <v>0.90554414784394255</v>
      </c>
      <c r="BH63" s="31">
        <v>0.86419753086419748</v>
      </c>
      <c r="BI63" s="31">
        <v>0.84423076923076923</v>
      </c>
      <c r="BJ63" s="31">
        <v>0.88183750579637876</v>
      </c>
      <c r="BK63" s="31">
        <v>0.84786641929499074</v>
      </c>
      <c r="BL63" s="31">
        <v>0.88114754098360659</v>
      </c>
      <c r="BM63" s="31">
        <v>0.79032258064516125</v>
      </c>
      <c r="BN63" s="31">
        <v>0.844758064516129</v>
      </c>
      <c r="BO63" s="31">
        <v>0.94285714285714284</v>
      </c>
      <c r="BP63" s="31">
        <v>0.92576419213973804</v>
      </c>
      <c r="BQ63" s="31">
        <v>0.88114754098360659</v>
      </c>
      <c r="BR63" s="31">
        <v>0.87340906877433933</v>
      </c>
      <c r="BS63" s="31">
        <v>0.9254302103250478</v>
      </c>
      <c r="BT63" s="31">
        <v>0.88600000000000001</v>
      </c>
      <c r="BU63" s="31">
        <v>0.89534883720930236</v>
      </c>
      <c r="BV63" s="31">
        <v>0.92730844793713163</v>
      </c>
      <c r="BW63" s="31">
        <v>0.8666666666666667</v>
      </c>
      <c r="BX63" s="31">
        <v>0.90546218487394958</v>
      </c>
      <c r="BY63" s="31">
        <v>0.9204301075268817</v>
      </c>
      <c r="BZ63" s="31">
        <v>0.90380663636271141</v>
      </c>
      <c r="CA63" s="31">
        <v>0.82342007434944242</v>
      </c>
      <c r="CB63" s="31">
        <v>0.89748549323017413</v>
      </c>
      <c r="CC63" s="31">
        <v>0.84029038112522692</v>
      </c>
      <c r="CD63" s="31">
        <v>0.86940298507462688</v>
      </c>
      <c r="CE63" s="31">
        <v>0.91836734693877553</v>
      </c>
      <c r="CF63" s="31">
        <v>0.92706333973128596</v>
      </c>
      <c r="CG63" s="31">
        <v>0.90145985401459849</v>
      </c>
      <c r="CH63" s="31">
        <v>0.88249849635201871</v>
      </c>
      <c r="CI63" s="31">
        <v>0.88086642599277976</v>
      </c>
      <c r="CJ63" s="31">
        <v>0.86643233743409487</v>
      </c>
      <c r="CK63" s="31">
        <v>0.85117967332123412</v>
      </c>
      <c r="CL63" s="31">
        <v>0.83612662942271876</v>
      </c>
      <c r="CM63" s="31">
        <v>0.94525547445255476</v>
      </c>
      <c r="CN63" s="31">
        <v>0.95857988165680474</v>
      </c>
      <c r="CO63" s="31">
        <v>0.94423791821561343</v>
      </c>
      <c r="CP63" s="31">
        <v>0.89752547721368592</v>
      </c>
      <c r="CQ63" s="31">
        <v>0.88345864661654139</v>
      </c>
      <c r="CR63" s="31">
        <v>0.82551594746716694</v>
      </c>
      <c r="CS63" s="31">
        <v>0.88652482269503541</v>
      </c>
      <c r="CT63" s="31">
        <v>0.82740213523131667</v>
      </c>
      <c r="CU63" s="31">
        <v>0.89357798165137614</v>
      </c>
      <c r="CV63" s="31">
        <v>0.87476979742173111</v>
      </c>
      <c r="CW63" s="31">
        <v>0.87613843351548271</v>
      </c>
      <c r="CX63" s="31">
        <v>0.86676968065695015</v>
      </c>
      <c r="CY63" s="31">
        <v>0.84078711985688726</v>
      </c>
      <c r="CZ63" s="31">
        <v>0.87142857142857144</v>
      </c>
      <c r="DA63" s="31">
        <v>0.87681159420289856</v>
      </c>
      <c r="DB63" s="31">
        <v>0.90843806104129265</v>
      </c>
      <c r="DC63" s="31">
        <v>0.86025408348457355</v>
      </c>
      <c r="DD63" s="31">
        <v>0.88138686131386856</v>
      </c>
      <c r="DE63" s="31">
        <v>0.86851851851851847</v>
      </c>
      <c r="DF63" s="31">
        <v>0.87251782997808724</v>
      </c>
      <c r="DG63" s="31">
        <v>0.90892193308550184</v>
      </c>
      <c r="DH63" s="31">
        <v>0.9283088235294118</v>
      </c>
      <c r="DI63" s="31">
        <v>0.87889908256880733</v>
      </c>
      <c r="DJ63" s="31">
        <v>0.86181818181818182</v>
      </c>
      <c r="DK63" s="31">
        <v>0.8996282527881041</v>
      </c>
      <c r="DL63" s="31">
        <v>0.94405594405594406</v>
      </c>
      <c r="DM63" s="31">
        <v>0.93055555555555558</v>
      </c>
      <c r="DN63" s="31">
        <v>0.9074553962002152</v>
      </c>
      <c r="DO63" s="31">
        <v>0.85767097966728278</v>
      </c>
      <c r="DP63" s="31">
        <v>0.85890652557319225</v>
      </c>
      <c r="DQ63" s="31">
        <v>0.83302411873840443</v>
      </c>
      <c r="DR63" s="31">
        <v>0.89194499017681728</v>
      </c>
      <c r="DS63" s="31">
        <v>0.83985102420856605</v>
      </c>
      <c r="DT63" s="31">
        <v>0.88065099457504525</v>
      </c>
      <c r="DU63" s="31">
        <v>0.85299455535390201</v>
      </c>
      <c r="DV63" s="31">
        <v>0.85929188404188728</v>
      </c>
      <c r="DW63" s="31">
        <v>0.79584120982986772</v>
      </c>
      <c r="DX63" s="31">
        <v>0.85027726432532347</v>
      </c>
      <c r="DY63" s="31">
        <v>0.82283464566929132</v>
      </c>
      <c r="DZ63" s="31">
        <v>0.80219780219780223</v>
      </c>
      <c r="EA63" s="31">
        <v>0.8834355828220859</v>
      </c>
      <c r="EB63" s="31">
        <v>0.88909426987061002</v>
      </c>
      <c r="EC63" s="31">
        <v>0.90077821011673154</v>
      </c>
      <c r="ED63" s="31">
        <v>0.84920842640453031</v>
      </c>
      <c r="EE63" s="31">
        <v>0.80221811460258785</v>
      </c>
      <c r="EF63" s="31">
        <v>0.86011342155009451</v>
      </c>
      <c r="EG63" s="31">
        <v>0.82374768089053807</v>
      </c>
      <c r="EH63" s="31">
        <v>0.81632653061224492</v>
      </c>
      <c r="EI63" s="31">
        <v>0.81365313653136528</v>
      </c>
      <c r="EJ63" s="31">
        <v>0.87476979742173111</v>
      </c>
      <c r="EK63" s="31">
        <v>0.84210526315789469</v>
      </c>
      <c r="EL63" s="31">
        <v>0.83327627782377944</v>
      </c>
    </row>
    <row r="64" spans="38:142" x14ac:dyDescent="0.35">
      <c r="AL64" s="19" t="s">
        <v>114</v>
      </c>
      <c r="AM64" s="31">
        <v>0.88372093023255816</v>
      </c>
      <c r="AN64" s="31">
        <v>0.91377245508982041</v>
      </c>
      <c r="AO64" s="31">
        <v>0.89655172413793105</v>
      </c>
      <c r="AP64" s="31">
        <v>0.90311004784688997</v>
      </c>
      <c r="AQ64" s="31">
        <v>0.91105769230769229</v>
      </c>
      <c r="AR64" s="31">
        <v>0.94813027744270206</v>
      </c>
      <c r="AS64" s="31">
        <v>0.94103489771359805</v>
      </c>
      <c r="AT64" s="31">
        <v>0.91391114639588455</v>
      </c>
      <c r="AU64" s="31">
        <v>0.94623655913978499</v>
      </c>
      <c r="AV64" s="31">
        <v>0.90876777251184837</v>
      </c>
      <c r="AW64" s="31">
        <v>0.95565927654609106</v>
      </c>
      <c r="AX64" s="31">
        <v>0.94718309859154926</v>
      </c>
      <c r="AY64" s="31">
        <v>0.93667861409796893</v>
      </c>
      <c r="AZ64" s="31">
        <v>0.9385342789598109</v>
      </c>
      <c r="BA64" s="31">
        <v>0.92574850299401201</v>
      </c>
      <c r="BB64" s="31">
        <v>0.93697258612015211</v>
      </c>
      <c r="BC64" s="31">
        <v>0.92832764505119458</v>
      </c>
      <c r="BD64" s="31">
        <v>0.95454545454545459</v>
      </c>
      <c r="BE64" s="31">
        <v>0.89402480270574969</v>
      </c>
      <c r="BF64" s="31">
        <v>0.887260428410372</v>
      </c>
      <c r="BG64" s="31">
        <v>0.95199999999999996</v>
      </c>
      <c r="BH64" s="31">
        <v>0.94585253456221197</v>
      </c>
      <c r="BI64" s="31">
        <v>0.95351473922902497</v>
      </c>
      <c r="BJ64" s="31">
        <v>0.93078937207200119</v>
      </c>
      <c r="BK64" s="31">
        <v>0.72604284103720407</v>
      </c>
      <c r="BL64" s="31">
        <v>0.93119266055045868</v>
      </c>
      <c r="BM64" s="31">
        <v>0.7406989853438557</v>
      </c>
      <c r="BN64" s="31">
        <v>0.78692220969560311</v>
      </c>
      <c r="BO64" s="31">
        <v>0.84101382488479259</v>
      </c>
      <c r="BP64" s="31">
        <v>0.92147806004618937</v>
      </c>
      <c r="BQ64" s="31">
        <v>0.9124423963133641</v>
      </c>
      <c r="BR64" s="31">
        <v>0.83711299683878104</v>
      </c>
      <c r="BS64" s="31">
        <v>0.86946386946386944</v>
      </c>
      <c r="BT64" s="31">
        <v>0.8655172413793103</v>
      </c>
      <c r="BU64" s="31">
        <v>0.90326340326340326</v>
      </c>
      <c r="BV64" s="31">
        <v>0.92378752886836024</v>
      </c>
      <c r="BW64" s="31">
        <v>0.908881199538639</v>
      </c>
      <c r="BX64" s="31">
        <v>0.90898617511520741</v>
      </c>
      <c r="BY64" s="31">
        <v>0.92511520737327191</v>
      </c>
      <c r="BZ64" s="31">
        <v>0.90071637500029456</v>
      </c>
      <c r="CA64" s="31">
        <v>0.98148148148148151</v>
      </c>
      <c r="CB64" s="31">
        <v>0.96407879490150639</v>
      </c>
      <c r="CC64" s="31">
        <v>0.96153846153846156</v>
      </c>
      <c r="CD64" s="31">
        <v>0.97123130034522442</v>
      </c>
      <c r="CE64" s="31">
        <v>0.97420867526377486</v>
      </c>
      <c r="CF64" s="31">
        <v>0.96313364055299544</v>
      </c>
      <c r="CG64" s="31">
        <v>0.9804147465437788</v>
      </c>
      <c r="CH64" s="31">
        <v>0.97086958580388882</v>
      </c>
      <c r="CI64" s="31">
        <v>0.9859976662777129</v>
      </c>
      <c r="CJ64" s="31">
        <v>0.98392652123995405</v>
      </c>
      <c r="CK64" s="31">
        <v>0.92657342657342656</v>
      </c>
      <c r="CL64" s="31">
        <v>0.91077636152954811</v>
      </c>
      <c r="CM64" s="31">
        <v>0.97202797202797198</v>
      </c>
      <c r="CN64" s="31">
        <v>0.98955916473317862</v>
      </c>
      <c r="CO64" s="31">
        <v>0.97583429228998853</v>
      </c>
      <c r="CP64" s="31">
        <v>0.96352791495311141</v>
      </c>
      <c r="CQ64" s="31">
        <v>0.98466981132075471</v>
      </c>
      <c r="CR64" s="31">
        <v>0.9515011547344111</v>
      </c>
      <c r="CS64" s="31">
        <v>0.94064949608062709</v>
      </c>
      <c r="CT64" s="31">
        <v>0.94707828004410144</v>
      </c>
      <c r="CU64" s="31">
        <v>0.9657210401891253</v>
      </c>
      <c r="CV64" s="31">
        <v>0.96973224679860304</v>
      </c>
      <c r="CW64" s="31">
        <v>0.97968936678614094</v>
      </c>
      <c r="CX64" s="31">
        <v>0.96272019942196607</v>
      </c>
      <c r="CY64" s="31">
        <v>0.91977401129943503</v>
      </c>
      <c r="CZ64" s="31">
        <v>0.98537682789651293</v>
      </c>
      <c r="DA64" s="31">
        <v>0.88751406074240724</v>
      </c>
      <c r="DB64" s="31">
        <v>0.93522727272727268</v>
      </c>
      <c r="DC64" s="31">
        <v>0.91508379888268154</v>
      </c>
      <c r="DD64" s="31">
        <v>0.93866374589266155</v>
      </c>
      <c r="DE64" s="31">
        <v>0.91186071817192604</v>
      </c>
      <c r="DF64" s="31">
        <v>0.92764291937327104</v>
      </c>
      <c r="DG64" s="31">
        <v>0.91986062717770034</v>
      </c>
      <c r="DH64" s="31">
        <v>0.94808126410835214</v>
      </c>
      <c r="DI64" s="31">
        <v>0.89437428243398398</v>
      </c>
      <c r="DJ64" s="31">
        <v>0.89729119638826182</v>
      </c>
      <c r="DK64" s="31">
        <v>0.9375</v>
      </c>
      <c r="DL64" s="31">
        <v>0.93898305084745759</v>
      </c>
      <c r="DM64" s="31">
        <v>0.92281879194630867</v>
      </c>
      <c r="DN64" s="31">
        <v>0.9227013161288663</v>
      </c>
      <c r="DO64" s="31">
        <v>0.90835266821345706</v>
      </c>
      <c r="DP64" s="31">
        <v>0.91009988901220862</v>
      </c>
      <c r="DQ64" s="31">
        <v>0.91044776119402981</v>
      </c>
      <c r="DR64" s="31">
        <v>0.8994413407821229</v>
      </c>
      <c r="DS64" s="31">
        <v>0.90867052023121386</v>
      </c>
      <c r="DT64" s="31">
        <v>0.91002277904328022</v>
      </c>
      <c r="DU64" s="31">
        <v>0.90426758938869667</v>
      </c>
      <c r="DV64" s="31">
        <v>0.90732893540928694</v>
      </c>
      <c r="DW64" s="31">
        <v>0.88638920134983123</v>
      </c>
      <c r="DX64" s="31">
        <v>0.91816143497757852</v>
      </c>
      <c r="DY64" s="31">
        <v>0.90559440559440563</v>
      </c>
      <c r="DZ64" s="31">
        <v>0.9358974358974359</v>
      </c>
      <c r="EA64" s="31">
        <v>0.90123456790123457</v>
      </c>
      <c r="EB64" s="31">
        <v>0.93181818181818177</v>
      </c>
      <c r="EC64" s="31">
        <v>0.92613636363636365</v>
      </c>
      <c r="ED64" s="31">
        <v>0.91503308445357601</v>
      </c>
      <c r="EE64" s="31">
        <v>0.89419795221843001</v>
      </c>
      <c r="EF64" s="31">
        <v>0.91825307950727886</v>
      </c>
      <c r="EG64" s="31">
        <v>0.90763968072976053</v>
      </c>
      <c r="EH64" s="31">
        <v>0.92290249433106575</v>
      </c>
      <c r="EI64" s="31">
        <v>0.9097142857142857</v>
      </c>
      <c r="EJ64" s="31">
        <v>0.92954545454545456</v>
      </c>
      <c r="EK64" s="31">
        <v>0.90169491525423728</v>
      </c>
      <c r="EL64" s="31">
        <v>0.91199255175721616</v>
      </c>
    </row>
    <row r="65" spans="38:142" x14ac:dyDescent="0.35">
      <c r="AL65" s="19" t="s">
        <v>115</v>
      </c>
      <c r="AM65" s="31">
        <v>0.91397849462365588</v>
      </c>
      <c r="AN65" s="31">
        <v>0.83028720626631858</v>
      </c>
      <c r="AO65" s="31">
        <v>0.93530997304582209</v>
      </c>
      <c r="AP65" s="31">
        <v>0.88461538461538458</v>
      </c>
      <c r="AQ65" s="31">
        <v>0.86753246753246749</v>
      </c>
      <c r="AR65" s="31">
        <v>0.82487309644670048</v>
      </c>
      <c r="AS65" s="31">
        <v>0.8519480519480519</v>
      </c>
      <c r="AT65" s="31">
        <v>0.87264923921120019</v>
      </c>
      <c r="AU65" s="31">
        <v>0.89473684210526316</v>
      </c>
      <c r="AV65" s="31">
        <v>0.91989664082687339</v>
      </c>
      <c r="AW65" s="31">
        <v>0.89051094890510951</v>
      </c>
      <c r="AX65" s="31">
        <v>0.95844155844155843</v>
      </c>
      <c r="AY65" s="31">
        <v>0.90196078431372551</v>
      </c>
      <c r="AZ65" s="31">
        <v>0.96675191815856776</v>
      </c>
      <c r="BA65" s="31">
        <v>0.92191435768261965</v>
      </c>
      <c r="BB65" s="31">
        <v>0.92203043577624555</v>
      </c>
      <c r="BC65" s="31">
        <v>0.8645320197044335</v>
      </c>
      <c r="BD65" s="31">
        <v>0.95771144278606968</v>
      </c>
      <c r="BE65" s="31">
        <v>0.83743842364532017</v>
      </c>
      <c r="BF65" s="31">
        <v>0.83211678832116787</v>
      </c>
      <c r="BG65" s="31">
        <v>0.86330935251798557</v>
      </c>
      <c r="BH65" s="31">
        <v>0.94044665012406947</v>
      </c>
      <c r="BI65" s="31">
        <v>0.90487804878048783</v>
      </c>
      <c r="BJ65" s="31">
        <v>0.88577610369707627</v>
      </c>
      <c r="BK65" s="31">
        <v>0.72682926829268291</v>
      </c>
      <c r="BL65" s="31">
        <v>0.79156908665105385</v>
      </c>
      <c r="BM65" s="31">
        <v>0.78292682926829271</v>
      </c>
      <c r="BN65" s="31">
        <v>0.8044554455445545</v>
      </c>
      <c r="BO65" s="31">
        <v>0.77088305489260145</v>
      </c>
      <c r="BP65" s="31">
        <v>0.79166666666666663</v>
      </c>
      <c r="BQ65" s="31">
        <v>0.78486997635933808</v>
      </c>
      <c r="BR65" s="31">
        <v>0.7790286182393128</v>
      </c>
      <c r="BS65" s="31">
        <v>0.84855769230769229</v>
      </c>
      <c r="BT65" s="31">
        <v>0.83175355450236965</v>
      </c>
      <c r="BU65" s="31">
        <v>0.85106382978723405</v>
      </c>
      <c r="BV65" s="31">
        <v>0.91606714628297359</v>
      </c>
      <c r="BW65" s="31">
        <v>0.86124401913875603</v>
      </c>
      <c r="BX65" s="31">
        <v>0.90531177829099307</v>
      </c>
      <c r="BY65" s="31">
        <v>0.90714285714285714</v>
      </c>
      <c r="BZ65" s="31">
        <v>0.87444869677898229</v>
      </c>
      <c r="CA65" s="31">
        <v>0.97549019607843135</v>
      </c>
      <c r="CB65" s="31">
        <v>0.91448931116389554</v>
      </c>
      <c r="CC65" s="31">
        <v>0.91666666666666663</v>
      </c>
      <c r="CD65" s="31">
        <v>0.95024875621890548</v>
      </c>
      <c r="CE65" s="31">
        <v>0.93111638954869358</v>
      </c>
      <c r="CF65" s="31">
        <v>0.94484412470023982</v>
      </c>
      <c r="CG65" s="31">
        <v>0.91428571428571426</v>
      </c>
      <c r="CH65" s="31">
        <v>0.93530587980893531</v>
      </c>
      <c r="CI65" s="31">
        <v>0.875</v>
      </c>
      <c r="CJ65" s="31">
        <v>0.96766169154228854</v>
      </c>
      <c r="CK65" s="31">
        <v>0.80249999999999999</v>
      </c>
      <c r="CL65" s="31">
        <v>0.82250000000000001</v>
      </c>
      <c r="CM65" s="31">
        <v>0.89249999999999996</v>
      </c>
      <c r="CN65" s="31">
        <v>0.972568578553616</v>
      </c>
      <c r="CO65" s="31">
        <v>0.93516209476309231</v>
      </c>
      <c r="CP65" s="31">
        <v>0.89541319497985672</v>
      </c>
      <c r="CQ65" s="31">
        <v>0.93796526054590568</v>
      </c>
      <c r="CR65" s="31">
        <v>0.85250000000000004</v>
      </c>
      <c r="CS65" s="31">
        <v>0.91</v>
      </c>
      <c r="CT65" s="31">
        <v>0.95499999999999996</v>
      </c>
      <c r="CU65" s="31">
        <v>0.9375</v>
      </c>
      <c r="CV65" s="31">
        <v>0.88491048593350385</v>
      </c>
      <c r="CW65" s="31">
        <v>0.86432160804020097</v>
      </c>
      <c r="CX65" s="31">
        <v>0.9060281935028015</v>
      </c>
      <c r="CY65" s="31">
        <v>0.92269326683291775</v>
      </c>
      <c r="CZ65" s="31">
        <v>0.9899749373433584</v>
      </c>
      <c r="DA65" s="31">
        <v>0.90500000000000003</v>
      </c>
      <c r="DB65" s="31">
        <v>0.90749999999999997</v>
      </c>
      <c r="DC65" s="31">
        <v>0.91749999999999998</v>
      </c>
      <c r="DD65" s="31">
        <v>0.94014962593516205</v>
      </c>
      <c r="DE65" s="31">
        <v>0.97229219143576828</v>
      </c>
      <c r="DF65" s="31">
        <v>0.93644428879245811</v>
      </c>
      <c r="DG65" s="31">
        <v>0.90123456790123457</v>
      </c>
      <c r="DH65" s="31">
        <v>0.93532338308457708</v>
      </c>
      <c r="DI65" s="31">
        <v>0.81310679611650483</v>
      </c>
      <c r="DJ65" s="31">
        <v>0.83009708737864074</v>
      </c>
      <c r="DK65" s="31">
        <v>0.89876543209876547</v>
      </c>
      <c r="DL65" s="31">
        <v>0.9850746268656716</v>
      </c>
      <c r="DM65" s="31">
        <v>0.90864197530864199</v>
      </c>
      <c r="DN65" s="31">
        <v>0.89603483839343367</v>
      </c>
      <c r="DO65" s="31">
        <v>0.78260869565217395</v>
      </c>
      <c r="DP65" s="31">
        <v>0.8810679611650486</v>
      </c>
      <c r="DQ65" s="31">
        <v>0.80193236714975846</v>
      </c>
      <c r="DR65" s="31">
        <v>0.84541062801932365</v>
      </c>
      <c r="DS65" s="31">
        <v>0.82125603864734298</v>
      </c>
      <c r="DT65" s="31">
        <v>0.90338164251207731</v>
      </c>
      <c r="DU65" s="31">
        <v>0.84299516908212557</v>
      </c>
      <c r="DV65" s="31">
        <v>0.83980750031826434</v>
      </c>
      <c r="DW65" s="31">
        <v>0.93236714975845414</v>
      </c>
      <c r="DX65" s="31">
        <v>0.89855072463768115</v>
      </c>
      <c r="DY65" s="31">
        <v>0.88888888888888884</v>
      </c>
      <c r="DZ65" s="31">
        <v>0.88647342995169087</v>
      </c>
      <c r="EA65" s="31">
        <v>0.94444444444444442</v>
      </c>
      <c r="EB65" s="31">
        <v>0.90821256038647347</v>
      </c>
      <c r="EC65" s="31">
        <v>0.92270531400966183</v>
      </c>
      <c r="ED65" s="31">
        <v>0.91166321601104194</v>
      </c>
      <c r="EE65" s="31">
        <v>0.86956521739130432</v>
      </c>
      <c r="EF65" s="31">
        <v>0.92270531400966183</v>
      </c>
      <c r="EG65" s="31">
        <v>0.8188405797101449</v>
      </c>
      <c r="EH65" s="31">
        <v>0.83574879227053145</v>
      </c>
      <c r="EI65" s="31">
        <v>0.84541062801932365</v>
      </c>
      <c r="EJ65" s="31">
        <v>0.90579710144927539</v>
      </c>
      <c r="EK65" s="31">
        <v>0.84541062801932365</v>
      </c>
      <c r="EL65" s="31">
        <v>0.86335403726708082</v>
      </c>
    </row>
    <row r="66" spans="38:142" x14ac:dyDescent="0.35">
      <c r="AL66" s="19" t="s">
        <v>116</v>
      </c>
      <c r="AM66" s="31">
        <v>0.89098998887652947</v>
      </c>
      <c r="AN66" s="31">
        <v>0.92096219931271472</v>
      </c>
      <c r="AO66" s="31">
        <v>0.88735632183908042</v>
      </c>
      <c r="AP66" s="31">
        <v>0.87283236994219648</v>
      </c>
      <c r="AQ66" s="31">
        <v>0.89800443458980039</v>
      </c>
      <c r="AR66" s="31">
        <v>0.91816143497757852</v>
      </c>
      <c r="AS66" s="31">
        <v>0.91021324354657684</v>
      </c>
      <c r="AT66" s="31">
        <v>0.89978857044063953</v>
      </c>
      <c r="AU66" s="31">
        <v>0.90690032858707559</v>
      </c>
      <c r="AV66" s="31">
        <v>0.90929965556831227</v>
      </c>
      <c r="AW66" s="31">
        <v>0.90111111111111108</v>
      </c>
      <c r="AX66" s="31">
        <v>0.89</v>
      </c>
      <c r="AY66" s="31">
        <v>0.91280353200883002</v>
      </c>
      <c r="AZ66" s="31">
        <v>0.92970521541950113</v>
      </c>
      <c r="BA66" s="31">
        <v>0.92542372881355928</v>
      </c>
      <c r="BB66" s="31">
        <v>0.91074908164405566</v>
      </c>
      <c r="BC66" s="31">
        <v>0.90918803418803418</v>
      </c>
      <c r="BD66" s="31">
        <v>0.88115631691648821</v>
      </c>
      <c r="BE66" s="31">
        <v>0.87298170075349835</v>
      </c>
      <c r="BF66" s="31">
        <v>0.86108165429480377</v>
      </c>
      <c r="BG66" s="31">
        <v>0.93058568329718006</v>
      </c>
      <c r="BH66" s="31">
        <v>0.91491596638655459</v>
      </c>
      <c r="BI66" s="31">
        <v>0.91640211640211644</v>
      </c>
      <c r="BJ66" s="31">
        <v>0.89804449603409642</v>
      </c>
      <c r="BK66" s="31">
        <v>0.81941031941031939</v>
      </c>
      <c r="BL66" s="31">
        <v>0.90367965367965364</v>
      </c>
      <c r="BM66" s="31">
        <v>0.82533825338253386</v>
      </c>
      <c r="BN66" s="31">
        <v>0.88475836431226762</v>
      </c>
      <c r="BO66" s="31">
        <v>0.81028571428571428</v>
      </c>
      <c r="BP66" s="31">
        <v>0.90256959314775165</v>
      </c>
      <c r="BQ66" s="31">
        <v>0.8493303571428571</v>
      </c>
      <c r="BR66" s="31">
        <v>0.85648175076587107</v>
      </c>
      <c r="BS66" s="31">
        <v>0.87358916478555304</v>
      </c>
      <c r="BT66" s="31">
        <v>0.88796185935637661</v>
      </c>
      <c r="BU66" s="31">
        <v>0.89123196448390674</v>
      </c>
      <c r="BV66" s="31">
        <v>0.9125993189557321</v>
      </c>
      <c r="BW66" s="31">
        <v>0.90271493212669685</v>
      </c>
      <c r="BX66" s="31">
        <v>0.88775510204081631</v>
      </c>
      <c r="BY66" s="31">
        <v>0.91898148148148151</v>
      </c>
      <c r="BZ66" s="31">
        <v>0.89640483189008047</v>
      </c>
      <c r="CA66" s="31">
        <v>0.89538807649043872</v>
      </c>
      <c r="CB66" s="31">
        <v>0.9264214046822743</v>
      </c>
      <c r="CC66" s="31">
        <v>0.90552995391705071</v>
      </c>
      <c r="CD66" s="31">
        <v>0.884828349944629</v>
      </c>
      <c r="CE66" s="31">
        <v>0.91506228765571918</v>
      </c>
      <c r="CF66" s="31">
        <v>0.91147540983606556</v>
      </c>
      <c r="CG66" s="31">
        <v>0.91323692992213568</v>
      </c>
      <c r="CH66" s="31">
        <v>0.90742034463547327</v>
      </c>
      <c r="CI66" s="31">
        <v>0.90649942987457244</v>
      </c>
      <c r="CJ66" s="31">
        <v>0.9129464285714286</v>
      </c>
      <c r="CK66" s="31">
        <v>0.87768969422423559</v>
      </c>
      <c r="CL66" s="31">
        <v>0.87319243604004448</v>
      </c>
      <c r="CM66" s="31">
        <v>0.91146424517593638</v>
      </c>
      <c r="CN66" s="31">
        <v>0.88215488215488214</v>
      </c>
      <c r="CO66" s="31">
        <v>0.90858416945373466</v>
      </c>
      <c r="CP66" s="31">
        <v>0.89607589792783349</v>
      </c>
      <c r="CQ66" s="31">
        <v>0.89976689976689972</v>
      </c>
      <c r="CR66" s="31">
        <v>0.89364035087719296</v>
      </c>
      <c r="CS66" s="31">
        <v>0.89814814814814814</v>
      </c>
      <c r="CT66" s="31">
        <v>0.92</v>
      </c>
      <c r="CU66" s="31">
        <v>0.91845979614949036</v>
      </c>
      <c r="CV66" s="31">
        <v>0.90481522956326987</v>
      </c>
      <c r="CW66" s="31">
        <v>0.90112359550561794</v>
      </c>
      <c r="CX66" s="31">
        <v>0.90513628857294559</v>
      </c>
      <c r="CY66" s="31">
        <v>0.86434977578475336</v>
      </c>
      <c r="CZ66" s="31">
        <v>0.91870824053452116</v>
      </c>
      <c r="DA66" s="31">
        <v>0.87485907553551301</v>
      </c>
      <c r="DB66" s="31">
        <v>0.88613303269447574</v>
      </c>
      <c r="DC66" s="31">
        <v>0.90421892816419613</v>
      </c>
      <c r="DD66" s="31">
        <v>0.91383219954648531</v>
      </c>
      <c r="DE66" s="31">
        <v>0.9150401836969001</v>
      </c>
      <c r="DF66" s="31">
        <v>0.89673449085097789</v>
      </c>
      <c r="DG66" s="31">
        <v>0.9024110218140069</v>
      </c>
      <c r="DH66" s="31">
        <v>0.90666666666666662</v>
      </c>
      <c r="DI66" s="31">
        <v>0.88201603665521189</v>
      </c>
      <c r="DJ66" s="31">
        <v>0.90160183066361554</v>
      </c>
      <c r="DK66" s="31">
        <v>0.88496583143507968</v>
      </c>
      <c r="DL66" s="31">
        <v>0.90950744558991981</v>
      </c>
      <c r="DM66" s="31">
        <v>0.89103291713961408</v>
      </c>
      <c r="DN66" s="31">
        <v>0.89688596428058787</v>
      </c>
      <c r="DO66" s="31">
        <v>0.8649553571428571</v>
      </c>
      <c r="DP66" s="31">
        <v>0.89113355780022452</v>
      </c>
      <c r="DQ66" s="31">
        <v>0.82981090100111232</v>
      </c>
      <c r="DR66" s="31">
        <v>0.80263157894736847</v>
      </c>
      <c r="DS66" s="31">
        <v>0.88643880926130103</v>
      </c>
      <c r="DT66" s="31">
        <v>0.8994413407821229</v>
      </c>
      <c r="DU66" s="31">
        <v>0.89301801801801806</v>
      </c>
      <c r="DV66" s="31">
        <v>0.86677565185042915</v>
      </c>
      <c r="DW66" s="31">
        <v>0.85583524027459956</v>
      </c>
      <c r="DX66" s="31">
        <v>0.83810572687224671</v>
      </c>
      <c r="DY66" s="31">
        <v>0.85142857142857142</v>
      </c>
      <c r="DZ66" s="31">
        <v>0.82127192982456143</v>
      </c>
      <c r="EA66" s="31">
        <v>0.86726659167604048</v>
      </c>
      <c r="EB66" s="31">
        <v>0.85890257558790595</v>
      </c>
      <c r="EC66" s="31">
        <v>0.859375</v>
      </c>
      <c r="ED66" s="31">
        <v>0.85031223366627517</v>
      </c>
      <c r="EE66" s="31">
        <v>0.85582468281430224</v>
      </c>
      <c r="EF66" s="31">
        <v>0.8571428571428571</v>
      </c>
      <c r="EG66" s="31">
        <v>0.85796766743648956</v>
      </c>
      <c r="EH66" s="31">
        <v>0.85334872979214782</v>
      </c>
      <c r="EI66" s="31">
        <v>0.88539325842696626</v>
      </c>
      <c r="EJ66" s="31">
        <v>0.89039548022598869</v>
      </c>
      <c r="EK66" s="31">
        <v>0.87387387387387383</v>
      </c>
      <c r="EL66" s="31">
        <v>0.86770664995894653</v>
      </c>
    </row>
    <row r="67" spans="38:142" x14ac:dyDescent="0.35">
      <c r="AL67" s="19" t="s">
        <v>117</v>
      </c>
      <c r="AM67" s="31">
        <v>0.9002375296912114</v>
      </c>
      <c r="AN67" s="31">
        <v>0.91476590636254507</v>
      </c>
      <c r="AO67" s="31">
        <v>0.88434579439252337</v>
      </c>
      <c r="AP67" s="31">
        <v>0.90476190476190477</v>
      </c>
      <c r="AQ67" s="31">
        <v>0.87990487514863258</v>
      </c>
      <c r="AR67" s="31">
        <v>0.88544152744630067</v>
      </c>
      <c r="AS67" s="31">
        <v>0.89916963226571767</v>
      </c>
      <c r="AT67" s="31">
        <v>0.89551816715269084</v>
      </c>
      <c r="AU67" s="31">
        <v>0.93115519253208867</v>
      </c>
      <c r="AV67" s="31">
        <v>0.90532544378698221</v>
      </c>
      <c r="AW67" s="31">
        <v>0.91228070175438591</v>
      </c>
      <c r="AX67" s="31">
        <v>0.94262295081967218</v>
      </c>
      <c r="AY67" s="31">
        <v>0.95422535211267601</v>
      </c>
      <c r="AZ67" s="31">
        <v>0.92380952380952386</v>
      </c>
      <c r="BA67" s="31">
        <v>0.97278106508875739</v>
      </c>
      <c r="BB67" s="31">
        <v>0.93460003284344084</v>
      </c>
      <c r="BC67" s="31">
        <v>0.95990279465370598</v>
      </c>
      <c r="BD67" s="31">
        <v>0.96694214876033058</v>
      </c>
      <c r="BE67" s="31">
        <v>0.96687116564417175</v>
      </c>
      <c r="BF67" s="31">
        <v>0.96711327649208279</v>
      </c>
      <c r="BG67" s="31">
        <v>0.96923076923076923</v>
      </c>
      <c r="BH67" s="31">
        <v>0.94335260115606934</v>
      </c>
      <c r="BI67" s="31">
        <v>0.95677570093457942</v>
      </c>
      <c r="BJ67" s="31">
        <v>0.96145549383881568</v>
      </c>
      <c r="BK67" s="31">
        <v>1</v>
      </c>
      <c r="BL67" s="31">
        <v>0.92289156626506019</v>
      </c>
      <c r="BM67" s="31">
        <v>0.82860824742268047</v>
      </c>
      <c r="BN67" s="31">
        <v>0.89161290322580644</v>
      </c>
      <c r="BO67" s="31">
        <v>0.88931297709923662</v>
      </c>
      <c r="BP67" s="31">
        <v>0.94840294840294836</v>
      </c>
      <c r="BQ67" s="31">
        <v>0.90535491905354915</v>
      </c>
      <c r="BR67" s="31">
        <v>0.91231193735275451</v>
      </c>
      <c r="BS67" s="31">
        <v>0.92982456140350878</v>
      </c>
      <c r="BT67" s="31">
        <v>0.94079794079794077</v>
      </c>
      <c r="BU67" s="31">
        <v>0.92269938650306749</v>
      </c>
      <c r="BV67" s="31">
        <v>0.92628992628992624</v>
      </c>
      <c r="BW67" s="31">
        <v>0.9149198520345253</v>
      </c>
      <c r="BX67" s="31">
        <v>0.94936708860759489</v>
      </c>
      <c r="BY67" s="31">
        <v>0.92279411764705888</v>
      </c>
      <c r="BZ67" s="31">
        <v>0.92952755332623183</v>
      </c>
      <c r="CA67" s="31">
        <v>0.97644287396937579</v>
      </c>
      <c r="CB67" s="31">
        <v>0.94132029339853296</v>
      </c>
      <c r="CC67" s="31">
        <v>0.94755661501787847</v>
      </c>
      <c r="CD67" s="31">
        <v>0.94054696789536263</v>
      </c>
      <c r="CE67" s="31">
        <v>0.9569377990430622</v>
      </c>
      <c r="CF67" s="31">
        <v>0.93023255813953487</v>
      </c>
      <c r="CG67" s="31">
        <v>0.92934131736526948</v>
      </c>
      <c r="CH67" s="31">
        <v>0.94605406068985942</v>
      </c>
      <c r="CI67" s="31">
        <v>0.93727382388419778</v>
      </c>
      <c r="CJ67" s="31">
        <v>0.94004796163069548</v>
      </c>
      <c r="CK67" s="31">
        <v>0.89903846153846156</v>
      </c>
      <c r="CL67" s="31">
        <v>0.89199029126213591</v>
      </c>
      <c r="CM67" s="31">
        <v>0.96790123456790123</v>
      </c>
      <c r="CN67" s="31">
        <v>0.96327014218009477</v>
      </c>
      <c r="CO67" s="31">
        <v>0.94724220623501199</v>
      </c>
      <c r="CP67" s="31">
        <v>0.93525201732835705</v>
      </c>
      <c r="CQ67" s="31">
        <v>0.95054282267792523</v>
      </c>
      <c r="CR67" s="31">
        <v>0.91584158415841588</v>
      </c>
      <c r="CS67" s="31">
        <v>0.93529411764705883</v>
      </c>
      <c r="CT67" s="31">
        <v>0.93023255813953487</v>
      </c>
      <c r="CU67" s="31">
        <v>0.95471236230110157</v>
      </c>
      <c r="CV67" s="31">
        <v>0.93606755126658625</v>
      </c>
      <c r="CW67" s="31">
        <v>0.94993894993894989</v>
      </c>
      <c r="CX67" s="31">
        <v>0.93894713516136752</v>
      </c>
      <c r="CY67" s="31">
        <v>0.88554216867469882</v>
      </c>
      <c r="CZ67" s="31">
        <v>0.93971631205673756</v>
      </c>
      <c r="DA67" s="31">
        <v>0.88213851761846906</v>
      </c>
      <c r="DB67" s="31">
        <v>0.88861386138613863</v>
      </c>
      <c r="DC67" s="31">
        <v>0.87203791469194314</v>
      </c>
      <c r="DD67" s="31">
        <v>0.92951015531660697</v>
      </c>
      <c r="DE67" s="31">
        <v>0.90368608799048755</v>
      </c>
      <c r="DF67" s="31">
        <v>0.90017785967644037</v>
      </c>
      <c r="DG67" s="31">
        <v>0.9286592865928659</v>
      </c>
      <c r="DH67" s="31">
        <v>0.92610837438423643</v>
      </c>
      <c r="DI67" s="31">
        <v>0.89630512514898686</v>
      </c>
      <c r="DJ67" s="31">
        <v>0.89049338146811075</v>
      </c>
      <c r="DK67" s="31">
        <v>0.93796526054590568</v>
      </c>
      <c r="DL67" s="31">
        <v>0.94464944649446492</v>
      </c>
      <c r="DM67" s="31">
        <v>0.92355117139334153</v>
      </c>
      <c r="DN67" s="31">
        <v>0.92110457800398748</v>
      </c>
      <c r="DO67" s="31">
        <v>0.88690476190476186</v>
      </c>
      <c r="DP67" s="31">
        <v>0.91556091676718943</v>
      </c>
      <c r="DQ67" s="31">
        <v>0.85424133811230585</v>
      </c>
      <c r="DR67" s="31">
        <v>0.87664670658682631</v>
      </c>
      <c r="DS67" s="31">
        <v>0.91346153846153844</v>
      </c>
      <c r="DT67" s="31">
        <v>0.90787878787878784</v>
      </c>
      <c r="DU67" s="31">
        <v>0.90400972053462936</v>
      </c>
      <c r="DV67" s="31">
        <v>0.89410053860657701</v>
      </c>
      <c r="DW67" s="31">
        <v>0.90035587188612098</v>
      </c>
      <c r="DX67" s="31">
        <v>0.90442054958183993</v>
      </c>
      <c r="DY67" s="31">
        <v>0.91360946745562133</v>
      </c>
      <c r="DZ67" s="31">
        <v>0.88862559241706163</v>
      </c>
      <c r="EA67" s="31">
        <v>0.90386869871043374</v>
      </c>
      <c r="EB67" s="31">
        <v>0.93058823529411761</v>
      </c>
      <c r="EC67" s="31">
        <v>0.95343422584400461</v>
      </c>
      <c r="ED67" s="31">
        <v>0.91355752016988567</v>
      </c>
      <c r="EE67" s="31">
        <v>0.93266832917705733</v>
      </c>
      <c r="EF67" s="31">
        <v>0.92080378250591022</v>
      </c>
      <c r="EG67" s="31">
        <v>0.91411042944785281</v>
      </c>
      <c r="EH67" s="31">
        <v>0.91368680641183719</v>
      </c>
      <c r="EI67" s="31">
        <v>0.90769230769230769</v>
      </c>
      <c r="EJ67" s="31">
        <v>0.91252955082742315</v>
      </c>
      <c r="EK67" s="31">
        <v>0.91539365452408927</v>
      </c>
      <c r="EL67" s="31">
        <v>0.91669783722663978</v>
      </c>
    </row>
    <row r="68" spans="38:142" x14ac:dyDescent="0.35">
      <c r="AL68" s="19" t="s">
        <v>289</v>
      </c>
      <c r="AM68" s="31">
        <v>0.80614203454894429</v>
      </c>
      <c r="AN68" s="31">
        <v>0.84015594541910332</v>
      </c>
      <c r="AO68" s="31">
        <v>0.76199616122840697</v>
      </c>
      <c r="AP68" s="31">
        <v>0.78449905482041593</v>
      </c>
      <c r="AQ68" s="31">
        <v>0.84168336673346689</v>
      </c>
      <c r="AR68" s="31">
        <v>0.87058823529411766</v>
      </c>
      <c r="AS68" s="31">
        <v>0.82341269841269837</v>
      </c>
      <c r="AT68" s="31">
        <v>0.8183539280653076</v>
      </c>
      <c r="AU68" s="31">
        <v>0.85526315789473684</v>
      </c>
      <c r="AV68" s="31">
        <v>0.84210526315789469</v>
      </c>
      <c r="AW68" s="31">
        <v>0.85875706214689262</v>
      </c>
      <c r="AX68" s="31">
        <v>0.87030075187969924</v>
      </c>
      <c r="AY68" s="31">
        <v>0.91098484848484851</v>
      </c>
      <c r="AZ68" s="31">
        <v>0.88483685220729369</v>
      </c>
      <c r="BA68" s="31">
        <v>0.89056603773584908</v>
      </c>
      <c r="BB68" s="31">
        <v>0.87325913907245922</v>
      </c>
      <c r="BC68" s="31">
        <v>0.8620037807183365</v>
      </c>
      <c r="BD68" s="31">
        <v>0.86355140186915891</v>
      </c>
      <c r="BE68" s="31">
        <v>0.84571428571428575</v>
      </c>
      <c r="BF68" s="31">
        <v>0.84030418250950567</v>
      </c>
      <c r="BG68" s="31">
        <v>0.8617424242424242</v>
      </c>
      <c r="BH68" s="31">
        <v>0.89433962264150946</v>
      </c>
      <c r="BI68" s="31">
        <v>0.88846880907372405</v>
      </c>
      <c r="BJ68" s="31">
        <v>0.86516064382413493</v>
      </c>
      <c r="BK68" s="31">
        <v>0.75098814229249011</v>
      </c>
      <c r="BL68" s="31">
        <v>0.88804554079696396</v>
      </c>
      <c r="BM68" s="31">
        <v>0.8091286307053942</v>
      </c>
      <c r="BN68" s="31">
        <v>0.87142857142857144</v>
      </c>
      <c r="BO68" s="31">
        <v>0.8359073359073359</v>
      </c>
      <c r="BP68" s="31">
        <v>0.89583333333333337</v>
      </c>
      <c r="BQ68" s="31">
        <v>0.86407766990291257</v>
      </c>
      <c r="BR68" s="31">
        <v>0.84505846062385737</v>
      </c>
      <c r="BS68" s="31">
        <v>0.79019607843137252</v>
      </c>
      <c r="BT68" s="31">
        <v>0.88732394366197187</v>
      </c>
      <c r="BU68" s="31">
        <v>0.83365200764818359</v>
      </c>
      <c r="BV68" s="31">
        <v>0.86538461538461542</v>
      </c>
      <c r="BW68" s="31">
        <v>0.8366533864541833</v>
      </c>
      <c r="BX68" s="31">
        <v>0.89156626506024095</v>
      </c>
      <c r="BY68" s="31">
        <v>0.86982248520710059</v>
      </c>
      <c r="BZ68" s="31">
        <v>0.853514111692524</v>
      </c>
      <c r="CA68" s="31">
        <v>0.88503649635036497</v>
      </c>
      <c r="CB68" s="31">
        <v>0.85931558935361219</v>
      </c>
      <c r="CC68" s="31">
        <v>0.83579335793357934</v>
      </c>
      <c r="CD68" s="31">
        <v>0.81684981684981683</v>
      </c>
      <c r="CE68" s="31">
        <v>0.9013035381750466</v>
      </c>
      <c r="CF68" s="31">
        <v>0.85185185185185186</v>
      </c>
      <c r="CG68" s="31">
        <v>0.85397412199630318</v>
      </c>
      <c r="CH68" s="31">
        <v>0.85773211035865349</v>
      </c>
      <c r="CI68" s="31">
        <v>0.8127208480565371</v>
      </c>
      <c r="CJ68" s="31">
        <v>0.83217993079584773</v>
      </c>
      <c r="CK68" s="31">
        <v>0.77232924693520144</v>
      </c>
      <c r="CL68" s="31">
        <v>0.78632478632478631</v>
      </c>
      <c r="CM68" s="31">
        <v>0.76722532588454373</v>
      </c>
      <c r="CN68" s="31">
        <v>0.80978260869565222</v>
      </c>
      <c r="CO68" s="31">
        <v>0.74094202898550721</v>
      </c>
      <c r="CP68" s="31">
        <v>0.78878639652543936</v>
      </c>
      <c r="CQ68" s="31">
        <v>0.77606837606837609</v>
      </c>
      <c r="CR68" s="31">
        <v>0.83159722222222221</v>
      </c>
      <c r="CS68" s="31">
        <v>0.73563218390804597</v>
      </c>
      <c r="CT68" s="31">
        <v>0.78441127694859036</v>
      </c>
      <c r="CU68" s="31">
        <v>0.74363327674023771</v>
      </c>
      <c r="CV68" s="31">
        <v>0.84974958263772959</v>
      </c>
      <c r="CW68" s="31">
        <v>0.84391080617495717</v>
      </c>
      <c r="CX68" s="31">
        <v>0.79500038924287986</v>
      </c>
      <c r="CY68" s="31">
        <v>0.75862068965517238</v>
      </c>
      <c r="CZ68" s="31">
        <v>0.80100334448160537</v>
      </c>
      <c r="DA68" s="31">
        <v>0.76379310344827589</v>
      </c>
      <c r="DB68" s="31">
        <v>0.70325900514579764</v>
      </c>
      <c r="DC68" s="31">
        <v>0.78434782608695652</v>
      </c>
      <c r="DD68" s="31">
        <v>0.77685950413223137</v>
      </c>
      <c r="DE68" s="31">
        <v>0.81944444444444442</v>
      </c>
      <c r="DF68" s="31">
        <v>0.77247541677064058</v>
      </c>
      <c r="DG68" s="31">
        <v>0.73041894353369763</v>
      </c>
      <c r="DH68" s="31">
        <v>0.76338514680483593</v>
      </c>
      <c r="DI68" s="31">
        <v>0.74591651542649728</v>
      </c>
      <c r="DJ68" s="31">
        <v>0.77551020408163263</v>
      </c>
      <c r="DK68" s="31">
        <v>0.73920863309352514</v>
      </c>
      <c r="DL68" s="31">
        <v>0.758147512864494</v>
      </c>
      <c r="DM68" s="31">
        <v>0.75985663082437271</v>
      </c>
      <c r="DN68" s="31">
        <v>0.75320622666129367</v>
      </c>
      <c r="DO68" s="31">
        <v>0.73693693693693696</v>
      </c>
      <c r="DP68" s="31">
        <v>0.78867924528301891</v>
      </c>
      <c r="DQ68" s="31">
        <v>0.77551020408163263</v>
      </c>
      <c r="DR68" s="31">
        <v>0.75539568345323738</v>
      </c>
      <c r="DS68" s="31">
        <v>0.80882352941176472</v>
      </c>
      <c r="DT68" s="31">
        <v>0.82533589251439543</v>
      </c>
      <c r="DU68" s="31">
        <v>0.82230623818525517</v>
      </c>
      <c r="DV68" s="31">
        <v>0.78756967569517733</v>
      </c>
      <c r="DW68" s="31">
        <v>0.74558303886925792</v>
      </c>
      <c r="DX68" s="31">
        <v>0.75362318840579712</v>
      </c>
      <c r="DY68" s="31">
        <v>0.77208480565371029</v>
      </c>
      <c r="DZ68" s="31">
        <v>0.80035335689045939</v>
      </c>
      <c r="EA68" s="31">
        <v>0.78880866425992779</v>
      </c>
      <c r="EB68" s="31">
        <v>0.77396021699819173</v>
      </c>
      <c r="EC68" s="31">
        <v>0.76086956521739135</v>
      </c>
      <c r="ED68" s="31">
        <v>0.77075469089924797</v>
      </c>
      <c r="EE68" s="31">
        <v>0.76164874551971329</v>
      </c>
      <c r="EF68" s="31">
        <v>0.80212014134275622</v>
      </c>
      <c r="EG68" s="31">
        <v>0.74028268551236753</v>
      </c>
      <c r="EH68" s="31">
        <v>0.72934973637961331</v>
      </c>
      <c r="EI68" s="31">
        <v>0.77304964539007093</v>
      </c>
      <c r="EJ68" s="31">
        <v>0.83812949640287771</v>
      </c>
      <c r="EK68" s="31">
        <v>0.76923076923076927</v>
      </c>
      <c r="EL68" s="31">
        <v>0.77340160282545256</v>
      </c>
    </row>
    <row r="69" spans="38:142" x14ac:dyDescent="0.35">
      <c r="AL69" s="19" t="s">
        <v>118</v>
      </c>
      <c r="AM69" s="31">
        <v>0.95511221945137159</v>
      </c>
      <c r="AN69" s="31">
        <v>0.97698209718670082</v>
      </c>
      <c r="AO69" s="31">
        <v>0.98004987531172072</v>
      </c>
      <c r="AP69" s="31">
        <v>0.96508728179551118</v>
      </c>
      <c r="AQ69" s="31">
        <v>0.94014962593516205</v>
      </c>
      <c r="AR69" s="31">
        <v>0.94710327455919396</v>
      </c>
      <c r="AS69" s="31">
        <v>0.97506234413965087</v>
      </c>
      <c r="AT69" s="31">
        <v>0.96279238833990166</v>
      </c>
      <c r="AU69" s="31">
        <v>0.94373401534526857</v>
      </c>
      <c r="AV69" s="31">
        <v>0.95396419437340152</v>
      </c>
      <c r="AW69" s="31">
        <v>0.96560196560196565</v>
      </c>
      <c r="AX69" s="31">
        <v>0.97442455242966752</v>
      </c>
      <c r="AY69" s="31">
        <v>0.95674300254452926</v>
      </c>
      <c r="AZ69" s="31">
        <v>0.95331695331695332</v>
      </c>
      <c r="BA69" s="31">
        <v>0.96437659033078882</v>
      </c>
      <c r="BB69" s="31">
        <v>0.95888018199179637</v>
      </c>
      <c r="BC69" s="31">
        <v>0.94402035623409675</v>
      </c>
      <c r="BD69" s="31">
        <v>0.97442455242966752</v>
      </c>
      <c r="BE69" s="31">
        <v>0.94117647058823528</v>
      </c>
      <c r="BF69" s="31">
        <v>0.94884910485933505</v>
      </c>
      <c r="BG69" s="31">
        <v>0.96059113300492616</v>
      </c>
      <c r="BH69" s="31">
        <v>0.94884910485933505</v>
      </c>
      <c r="BI69" s="31">
        <v>0.95652173913043481</v>
      </c>
      <c r="BJ69" s="31">
        <v>0.95349035158657591</v>
      </c>
      <c r="BK69" s="31">
        <v>0.93984962406015038</v>
      </c>
      <c r="BL69" s="31">
        <v>0.99236641221374045</v>
      </c>
      <c r="BM69" s="31">
        <v>0.98473282442748089</v>
      </c>
      <c r="BN69" s="31">
        <v>0.98727735368956748</v>
      </c>
      <c r="BO69" s="31">
        <v>0.91646191646191644</v>
      </c>
      <c r="BP69" s="31">
        <v>0.98473282442748089</v>
      </c>
      <c r="BQ69" s="31">
        <v>0.98473282442748089</v>
      </c>
      <c r="BR69" s="31">
        <v>0.97002196852968836</v>
      </c>
      <c r="BS69" s="31">
        <v>0.92572944297082227</v>
      </c>
      <c r="BT69" s="31">
        <v>0.97243107769423553</v>
      </c>
      <c r="BU69" s="31">
        <v>0.9669211195928753</v>
      </c>
      <c r="BV69" s="31">
        <v>0.97782258064516125</v>
      </c>
      <c r="BW69" s="31">
        <v>0.95755968169761274</v>
      </c>
      <c r="BX69" s="31">
        <v>0.96666666666666667</v>
      </c>
      <c r="BY69" s="31">
        <v>0.95755968169761274</v>
      </c>
      <c r="BZ69" s="31">
        <v>0.96067003585214095</v>
      </c>
      <c r="CA69" s="31">
        <v>0.92324561403508776</v>
      </c>
      <c r="CB69" s="31">
        <v>0.97297297297297303</v>
      </c>
      <c r="CC69" s="31">
        <v>0.906183368869936</v>
      </c>
      <c r="CD69" s="31">
        <v>0.9522821576763485</v>
      </c>
      <c r="CE69" s="31">
        <v>0.94704684317718946</v>
      </c>
      <c r="CF69" s="31">
        <v>0.96856581532416508</v>
      </c>
      <c r="CG69" s="31">
        <v>0.99607072691552068</v>
      </c>
      <c r="CH69" s="31">
        <v>0.95233821413874586</v>
      </c>
      <c r="CI69" s="31">
        <v>0.93722943722943719</v>
      </c>
      <c r="CJ69" s="31">
        <v>0.95299145299145294</v>
      </c>
      <c r="CK69" s="31">
        <v>0.93859649122807021</v>
      </c>
      <c r="CL69" s="31">
        <v>0.9673202614379085</v>
      </c>
      <c r="CM69" s="31">
        <v>0.96312364425162689</v>
      </c>
      <c r="CN69" s="31">
        <v>0.92753623188405798</v>
      </c>
      <c r="CO69" s="31">
        <v>0.94347826086956521</v>
      </c>
      <c r="CP69" s="31">
        <v>0.94718225427030267</v>
      </c>
      <c r="CQ69" s="31">
        <v>0.95991091314031185</v>
      </c>
      <c r="CR69" s="31">
        <v>0.99577167019027479</v>
      </c>
      <c r="CS69" s="31">
        <v>0.92307692307692313</v>
      </c>
      <c r="CT69" s="31">
        <v>0.96590909090909094</v>
      </c>
      <c r="CU69" s="31">
        <v>0.96491228070175439</v>
      </c>
      <c r="CV69" s="31">
        <v>0.97459584295612012</v>
      </c>
      <c r="CW69" s="31">
        <v>0.95064377682403434</v>
      </c>
      <c r="CX69" s="31">
        <v>0.96211721397121563</v>
      </c>
      <c r="CY69" s="31">
        <v>0.96846846846846846</v>
      </c>
      <c r="CZ69" s="31">
        <v>0.95604395604395609</v>
      </c>
      <c r="DA69" s="31">
        <v>0.92461197339246115</v>
      </c>
      <c r="DB69" s="31">
        <v>0.96598639455782309</v>
      </c>
      <c r="DC69" s="31">
        <v>0.98642533936651589</v>
      </c>
      <c r="DD69" s="31">
        <v>0.96888888888888891</v>
      </c>
      <c r="DE69" s="31">
        <v>0.9665178571428571</v>
      </c>
      <c r="DF69" s="31">
        <v>0.96242041112299581</v>
      </c>
      <c r="DG69" s="31">
        <v>0.98630136986301364</v>
      </c>
      <c r="DH69" s="31">
        <v>0.9753363228699552</v>
      </c>
      <c r="DI69" s="31">
        <v>0.95899772209567202</v>
      </c>
      <c r="DJ69" s="31">
        <v>0.97663551401869164</v>
      </c>
      <c r="DK69" s="31">
        <v>0.99090909090909096</v>
      </c>
      <c r="DL69" s="31">
        <v>0.9754464285714286</v>
      </c>
      <c r="DM69" s="31">
        <v>0.96644295302013428</v>
      </c>
      <c r="DN69" s="31">
        <v>0.97572420019256956</v>
      </c>
      <c r="DO69" s="31">
        <v>0.92099322799097061</v>
      </c>
      <c r="DP69" s="31">
        <v>0.97916666666666663</v>
      </c>
      <c r="DQ69" s="31">
        <v>0.9447004608294931</v>
      </c>
      <c r="DR69" s="31">
        <v>0.9447004608294931</v>
      </c>
      <c r="DS69" s="31">
        <v>0.95909090909090911</v>
      </c>
      <c r="DT69" s="31">
        <v>0.98611111111111116</v>
      </c>
      <c r="DU69" s="31">
        <v>0.95138888888888884</v>
      </c>
      <c r="DV69" s="31">
        <v>0.955164532201076</v>
      </c>
      <c r="DW69" s="31">
        <v>0.97711670480549195</v>
      </c>
      <c r="DX69" s="31">
        <v>0.9662921348314607</v>
      </c>
      <c r="DY69" s="31">
        <v>0.96082949308755761</v>
      </c>
      <c r="DZ69" s="31">
        <v>0.85426008968609868</v>
      </c>
      <c r="EA69" s="31">
        <v>0.96796338672768878</v>
      </c>
      <c r="EB69" s="31">
        <v>0.95022624434389136</v>
      </c>
      <c r="EC69" s="31">
        <v>0.96355353075170846</v>
      </c>
      <c r="ED69" s="31">
        <v>0.9486059406048426</v>
      </c>
      <c r="EE69" s="31">
        <v>0.97505668934240364</v>
      </c>
      <c r="EF69" s="31">
        <v>0.96171171171171166</v>
      </c>
      <c r="EG69" s="31">
        <v>0.92922374429223742</v>
      </c>
      <c r="EH69" s="31">
        <v>0.95612009237875284</v>
      </c>
      <c r="EI69" s="31">
        <v>0.9817351598173516</v>
      </c>
      <c r="EJ69" s="31">
        <v>0.96621621621621623</v>
      </c>
      <c r="EK69" s="31">
        <v>0.97959183673469385</v>
      </c>
      <c r="EL69" s="31">
        <v>0.96423649292762392</v>
      </c>
    </row>
    <row r="70" spans="38:142" x14ac:dyDescent="0.35">
      <c r="AL70" s="19" t="s">
        <v>119</v>
      </c>
      <c r="AM70" s="31">
        <v>0.92307692307692313</v>
      </c>
      <c r="AN70" s="31">
        <v>0.90366088631984587</v>
      </c>
      <c r="AO70" s="31">
        <v>0.90859232175502747</v>
      </c>
      <c r="AP70" s="31">
        <v>0.88380952380952382</v>
      </c>
      <c r="AQ70" s="31">
        <v>0.9721706864564007</v>
      </c>
      <c r="AR70" s="31">
        <v>0.87037037037037035</v>
      </c>
      <c r="AS70" s="31">
        <v>0.87985212569316085</v>
      </c>
      <c r="AT70" s="31">
        <v>0.90593326249732165</v>
      </c>
      <c r="AU70" s="31">
        <v>0.90513833992094861</v>
      </c>
      <c r="AV70" s="31">
        <v>0.88380952380952382</v>
      </c>
      <c r="AW70" s="31">
        <v>0.8634615384615385</v>
      </c>
      <c r="AX70" s="31">
        <v>0.85399999999999998</v>
      </c>
      <c r="AY70" s="31">
        <v>0.89563567362428842</v>
      </c>
      <c r="AZ70" s="31">
        <v>0.87855787476280833</v>
      </c>
      <c r="BA70" s="31">
        <v>0.82912621359223304</v>
      </c>
      <c r="BB70" s="31">
        <v>0.87281845202447728</v>
      </c>
      <c r="BC70" s="31">
        <v>0.91022964509394577</v>
      </c>
      <c r="BD70" s="31">
        <v>0.87673956262425445</v>
      </c>
      <c r="BE70" s="31">
        <v>0.91440501043841338</v>
      </c>
      <c r="BF70" s="31">
        <v>0.87525562372188137</v>
      </c>
      <c r="BG70" s="31">
        <v>0.9075975359342916</v>
      </c>
      <c r="BH70" s="31">
        <v>0.89960629921259838</v>
      </c>
      <c r="BI70" s="31">
        <v>0.86732673267326732</v>
      </c>
      <c r="BJ70" s="31">
        <v>0.89302291567123593</v>
      </c>
      <c r="BK70" s="31">
        <v>0.72807017543859653</v>
      </c>
      <c r="BL70" s="31">
        <v>0.89855072463768115</v>
      </c>
      <c r="BM70" s="31">
        <v>0.74835886214442016</v>
      </c>
      <c r="BN70" s="31">
        <v>0.7884187082405345</v>
      </c>
      <c r="BO70" s="31">
        <v>0.89440993788819878</v>
      </c>
      <c r="BP70" s="31">
        <v>0.94979079497907948</v>
      </c>
      <c r="BQ70" s="31">
        <v>0.90396659707724425</v>
      </c>
      <c r="BR70" s="31">
        <v>0.84450940005796504</v>
      </c>
      <c r="BS70" s="31">
        <v>0.8855291576673866</v>
      </c>
      <c r="BT70" s="31">
        <v>0.94206008583690992</v>
      </c>
      <c r="BU70" s="31">
        <v>0.93058568329718006</v>
      </c>
      <c r="BV70" s="31">
        <v>0.72030651340996166</v>
      </c>
      <c r="BW70" s="31">
        <v>0.91845493562231761</v>
      </c>
      <c r="BX70" s="31">
        <v>0.89416846652267823</v>
      </c>
      <c r="BY70" s="31">
        <v>0.90336134453781514</v>
      </c>
      <c r="BZ70" s="31">
        <v>0.88492374098489268</v>
      </c>
      <c r="CA70" s="31">
        <v>0.83193277310924374</v>
      </c>
      <c r="CB70" s="31">
        <v>0.84069097888675626</v>
      </c>
      <c r="CC70" s="31">
        <v>0.86382978723404258</v>
      </c>
      <c r="CD70" s="31">
        <v>0.8865096359743041</v>
      </c>
      <c r="CE70" s="31">
        <v>0.87446808510638296</v>
      </c>
      <c r="CF70" s="31">
        <v>0.88085106382978728</v>
      </c>
      <c r="CG70" s="31">
        <v>0.87234042553191493</v>
      </c>
      <c r="CH70" s="31">
        <v>0.86437467852463301</v>
      </c>
      <c r="CI70" s="31">
        <v>0.86353944562899787</v>
      </c>
      <c r="CJ70" s="31">
        <v>0.89804772234273322</v>
      </c>
      <c r="CK70" s="31">
        <v>0.87637969094922741</v>
      </c>
      <c r="CL70" s="31">
        <v>0.87991266375545851</v>
      </c>
      <c r="CM70" s="31">
        <v>0.87005649717514122</v>
      </c>
      <c r="CN70" s="31">
        <v>0.91182795698924735</v>
      </c>
      <c r="CO70" s="31">
        <v>0.88744588744588748</v>
      </c>
      <c r="CP70" s="31">
        <v>0.88388712346952758</v>
      </c>
      <c r="CQ70" s="31">
        <v>0.91956521739130437</v>
      </c>
      <c r="CR70" s="31">
        <v>0.89610389610389607</v>
      </c>
      <c r="CS70" s="31">
        <v>0.81497797356828194</v>
      </c>
      <c r="CT70" s="31">
        <v>0.83947939262472882</v>
      </c>
      <c r="CU70" s="31">
        <v>0.91434689507494649</v>
      </c>
      <c r="CV70" s="31">
        <v>0.92025862068965514</v>
      </c>
      <c r="CW70" s="31">
        <v>0.90322580645161288</v>
      </c>
      <c r="CX70" s="31">
        <v>0.8868511145577751</v>
      </c>
      <c r="CY70" s="31">
        <v>0.79569892473118276</v>
      </c>
      <c r="CZ70" s="31">
        <v>0.89111111111111108</v>
      </c>
      <c r="DA70" s="31">
        <v>0.80444444444444441</v>
      </c>
      <c r="DB70" s="31">
        <v>0.78173719376391981</v>
      </c>
      <c r="DC70" s="31">
        <v>0.83801295896328298</v>
      </c>
      <c r="DD70" s="31">
        <v>0.8571428571428571</v>
      </c>
      <c r="DE70" s="31">
        <v>0.90343347639484983</v>
      </c>
      <c r="DF70" s="31">
        <v>0.83879728093594974</v>
      </c>
      <c r="DG70" s="31">
        <v>0.9184149184149184</v>
      </c>
      <c r="DH70" s="31">
        <v>0.8382687927107062</v>
      </c>
      <c r="DI70" s="31">
        <v>0.86818181818181817</v>
      </c>
      <c r="DJ70" s="31">
        <v>0.84101382488479259</v>
      </c>
      <c r="DK70" s="31">
        <v>0.8904109589041096</v>
      </c>
      <c r="DL70" s="31">
        <v>0.81405895691609975</v>
      </c>
      <c r="DM70" s="31">
        <v>0.86788154897494307</v>
      </c>
      <c r="DN70" s="31">
        <v>0.86260440271248406</v>
      </c>
      <c r="DO70" s="31">
        <v>0.85458612975391501</v>
      </c>
      <c r="DP70" s="31">
        <v>0.85968819599109136</v>
      </c>
      <c r="DQ70" s="31">
        <v>0.77375565610859731</v>
      </c>
      <c r="DR70" s="31">
        <v>0.78153153153153154</v>
      </c>
      <c r="DS70" s="31">
        <v>0.83783783783783783</v>
      </c>
      <c r="DT70" s="31">
        <v>0.8125</v>
      </c>
      <c r="DU70" s="31">
        <v>0.84162895927601811</v>
      </c>
      <c r="DV70" s="31">
        <v>0.82307547292842731</v>
      </c>
      <c r="DW70" s="31">
        <v>0.84</v>
      </c>
      <c r="DX70" s="31">
        <v>0.81963470319634701</v>
      </c>
      <c r="DY70" s="31">
        <v>0.80694143167028198</v>
      </c>
      <c r="DZ70" s="31">
        <v>0.82655246252676662</v>
      </c>
      <c r="EA70" s="31">
        <v>0.86167800453514742</v>
      </c>
      <c r="EB70" s="31">
        <v>0.87410926365795727</v>
      </c>
      <c r="EC70" s="31">
        <v>0.87387387387387383</v>
      </c>
      <c r="ED70" s="31">
        <v>0.84325567706576776</v>
      </c>
      <c r="EE70" s="31">
        <v>0.85159817351598177</v>
      </c>
      <c r="EF70" s="31">
        <v>0.83406113537117899</v>
      </c>
      <c r="EG70" s="31">
        <v>0.81838565022421528</v>
      </c>
      <c r="EH70" s="31">
        <v>0.84798099762470314</v>
      </c>
      <c r="EI70" s="31">
        <v>0.83953488372093021</v>
      </c>
      <c r="EJ70" s="31">
        <v>0.81797752808988766</v>
      </c>
      <c r="EK70" s="31">
        <v>0.83870967741935487</v>
      </c>
      <c r="EL70" s="31">
        <v>0.83546400656660746</v>
      </c>
    </row>
    <row r="71" spans="38:142" x14ac:dyDescent="0.35">
      <c r="AL71" s="19" t="s">
        <v>120</v>
      </c>
      <c r="AM71" s="31">
        <v>0.92891566265060244</v>
      </c>
      <c r="AN71" s="31">
        <v>0.94850299401197602</v>
      </c>
      <c r="AO71" s="31">
        <v>0.92195121951219516</v>
      </c>
      <c r="AP71" s="31">
        <v>0.93588162762022198</v>
      </c>
      <c r="AQ71" s="31">
        <v>0.94565217391304346</v>
      </c>
      <c r="AR71" s="31">
        <v>0.94939759036144578</v>
      </c>
      <c r="AS71" s="31">
        <v>0.95667870036101088</v>
      </c>
      <c r="AT71" s="31">
        <v>0.94099713834721366</v>
      </c>
      <c r="AU71" s="31">
        <v>0.95880149812734083</v>
      </c>
      <c r="AV71" s="31">
        <v>0.94512195121951215</v>
      </c>
      <c r="AW71" s="31">
        <v>0.93438639125151879</v>
      </c>
      <c r="AX71" s="31">
        <v>0.9457177322074789</v>
      </c>
      <c r="AY71" s="31">
        <v>0.9445129469790382</v>
      </c>
      <c r="AZ71" s="31">
        <v>0.96350364963503654</v>
      </c>
      <c r="BA71" s="31">
        <v>0.9464068209500609</v>
      </c>
      <c r="BB71" s="31">
        <v>0.94835014148142671</v>
      </c>
      <c r="BC71" s="31">
        <v>0.94581280788177335</v>
      </c>
      <c r="BD71" s="31">
        <v>0.95641646489104115</v>
      </c>
      <c r="BE71" s="31">
        <v>0.92069392812887241</v>
      </c>
      <c r="BF71" s="31">
        <v>0.92147239263803682</v>
      </c>
      <c r="BG71" s="31">
        <v>0.9351740696278511</v>
      </c>
      <c r="BH71" s="31">
        <v>0.96867469879518076</v>
      </c>
      <c r="BI71" s="31">
        <v>0.93997599039615842</v>
      </c>
      <c r="BJ71" s="31">
        <v>0.94117433605127343</v>
      </c>
      <c r="BK71" s="31">
        <v>0.78985507246376807</v>
      </c>
      <c r="BL71" s="31">
        <v>0.92795031055900623</v>
      </c>
      <c r="BM71" s="31">
        <v>0.83519206939281287</v>
      </c>
      <c r="BN71" s="31">
        <v>0.84541062801932365</v>
      </c>
      <c r="BO71" s="31">
        <v>0.86925795053003529</v>
      </c>
      <c r="BP71" s="31">
        <v>0.9003601440576231</v>
      </c>
      <c r="BQ71" s="31">
        <v>0.89734299516908211</v>
      </c>
      <c r="BR71" s="31">
        <v>0.8664813100273786</v>
      </c>
      <c r="BS71" s="31">
        <v>0.89185905224787365</v>
      </c>
      <c r="BT71" s="31">
        <v>0.91113892365456817</v>
      </c>
      <c r="BU71" s="31">
        <v>0.91041162227602901</v>
      </c>
      <c r="BV71" s="31">
        <v>0.95243902439024386</v>
      </c>
      <c r="BW71" s="31">
        <v>0.93157262905162064</v>
      </c>
      <c r="BX71" s="31">
        <v>0.95302843016069216</v>
      </c>
      <c r="BY71" s="31">
        <v>0.94647201946472015</v>
      </c>
      <c r="BZ71" s="31">
        <v>0.92813167160653531</v>
      </c>
      <c r="CA71" s="31">
        <v>0.92874692874692877</v>
      </c>
      <c r="CB71" s="31">
        <v>0.96107055961070564</v>
      </c>
      <c r="CC71" s="31">
        <v>0.85764705882352943</v>
      </c>
      <c r="CD71" s="31">
        <v>0.90394088669950734</v>
      </c>
      <c r="CE71" s="31">
        <v>0.93048780487804883</v>
      </c>
      <c r="CF71" s="31">
        <v>0.96581196581196582</v>
      </c>
      <c r="CG71" s="31">
        <v>0.94561186650185414</v>
      </c>
      <c r="CH71" s="31">
        <v>0.92761672443893417</v>
      </c>
      <c r="CI71" s="31">
        <v>0.91158900836320189</v>
      </c>
      <c r="CJ71" s="31">
        <v>0.92601726263871764</v>
      </c>
      <c r="CK71" s="31">
        <v>0.88151658767772512</v>
      </c>
      <c r="CL71" s="31">
        <v>0.9155446756425949</v>
      </c>
      <c r="CM71" s="31">
        <v>0.92694610778443109</v>
      </c>
      <c r="CN71" s="31">
        <v>0.92822384428223847</v>
      </c>
      <c r="CO71" s="31">
        <v>0.93528693528693529</v>
      </c>
      <c r="CP71" s="31">
        <v>0.91787491738226357</v>
      </c>
      <c r="CQ71" s="31">
        <v>0.86658795749704842</v>
      </c>
      <c r="CR71" s="31">
        <v>0.92530120481927713</v>
      </c>
      <c r="CS71" s="31">
        <v>0.87292161520190026</v>
      </c>
      <c r="CT71" s="31">
        <v>0.87871581450653979</v>
      </c>
      <c r="CU71" s="31">
        <v>0.85917159763313611</v>
      </c>
      <c r="CV71" s="31">
        <v>0.89988358556461001</v>
      </c>
      <c r="CW71" s="31">
        <v>0.8835294117647059</v>
      </c>
      <c r="CX71" s="31">
        <v>0.8837301695696026</v>
      </c>
      <c r="CY71" s="31">
        <v>0.88123515439429934</v>
      </c>
      <c r="CZ71" s="31">
        <v>0.90543735224586286</v>
      </c>
      <c r="DA71" s="31">
        <v>0.9001189060642093</v>
      </c>
      <c r="DB71" s="31">
        <v>0.90337601862630967</v>
      </c>
      <c r="DC71" s="31">
        <v>0.89090909090909087</v>
      </c>
      <c r="DD71" s="31">
        <v>0.90276110444177671</v>
      </c>
      <c r="DE71" s="31">
        <v>0.90556900726392253</v>
      </c>
      <c r="DF71" s="31">
        <v>0.89848666199221028</v>
      </c>
      <c r="DG71" s="31">
        <v>0.87026406429391501</v>
      </c>
      <c r="DH71" s="31">
        <v>0.94069767441860463</v>
      </c>
      <c r="DI71" s="31">
        <v>0.84827586206896555</v>
      </c>
      <c r="DJ71" s="31">
        <v>0.87126436781609196</v>
      </c>
      <c r="DK71" s="31">
        <v>0.91618160651920844</v>
      </c>
      <c r="DL71" s="31">
        <v>0.92191142191142195</v>
      </c>
      <c r="DM71" s="31">
        <v>0.90771028037383172</v>
      </c>
      <c r="DN71" s="31">
        <v>0.8966150396288628</v>
      </c>
      <c r="DO71" s="31">
        <v>0.87182448036951499</v>
      </c>
      <c r="DP71" s="31">
        <v>0.91224018475750579</v>
      </c>
      <c r="DQ71" s="31">
        <v>0.84083044982698962</v>
      </c>
      <c r="DR71" s="31">
        <v>0.84143518518518523</v>
      </c>
      <c r="DS71" s="31">
        <v>0.88824214202561114</v>
      </c>
      <c r="DT71" s="31">
        <v>0.89595375722543358</v>
      </c>
      <c r="DU71" s="31">
        <v>0.89198606271777003</v>
      </c>
      <c r="DV71" s="31">
        <v>0.87750175172971567</v>
      </c>
      <c r="DW71" s="31">
        <v>0.8581314878892734</v>
      </c>
      <c r="DX71" s="31">
        <v>0.85150812064965198</v>
      </c>
      <c r="DY71" s="31">
        <v>0.83912037037037035</v>
      </c>
      <c r="DZ71" s="31">
        <v>0.86210892236384706</v>
      </c>
      <c r="EA71" s="31">
        <v>0.84277456647398841</v>
      </c>
      <c r="EB71" s="31">
        <v>0.86206896551724133</v>
      </c>
      <c r="EC71" s="31">
        <v>0.85912240184757505</v>
      </c>
      <c r="ED71" s="31">
        <v>0.85354783358742092</v>
      </c>
      <c r="EE71" s="31">
        <v>0.90646651270207856</v>
      </c>
      <c r="EF71" s="31">
        <v>0.90162037037037035</v>
      </c>
      <c r="EG71" s="31">
        <v>0.85764294049008172</v>
      </c>
      <c r="EH71" s="31">
        <v>0.84284051222351575</v>
      </c>
      <c r="EI71" s="31">
        <v>0.89528193325661676</v>
      </c>
      <c r="EJ71" s="31">
        <v>0.91289198606271782</v>
      </c>
      <c r="EK71" s="31">
        <v>0.89406286379511057</v>
      </c>
      <c r="EL71" s="31">
        <v>0.88725815984292744</v>
      </c>
    </row>
    <row r="72" spans="38:142" x14ac:dyDescent="0.35">
      <c r="AL72" s="19" t="s">
        <v>121</v>
      </c>
      <c r="AM72" s="31">
        <v>0.88870431893687707</v>
      </c>
      <c r="AN72" s="31">
        <v>0.9419152276295133</v>
      </c>
      <c r="AO72" s="31">
        <v>0.88907014681892338</v>
      </c>
      <c r="AP72" s="31">
        <v>0.8556876061120543</v>
      </c>
      <c r="AQ72" s="31">
        <v>0.86564625850340138</v>
      </c>
      <c r="AR72" s="31">
        <v>0.96075353218210358</v>
      </c>
      <c r="AS72" s="31">
        <v>0.97142857142857142</v>
      </c>
      <c r="AT72" s="31">
        <v>0.91045795165877785</v>
      </c>
      <c r="AU72" s="31">
        <v>0.9095315024232633</v>
      </c>
      <c r="AV72" s="31">
        <v>0.89473684210526316</v>
      </c>
      <c r="AW72" s="31">
        <v>0.8923327895595432</v>
      </c>
      <c r="AX72" s="31">
        <v>0.8833333333333333</v>
      </c>
      <c r="AY72" s="31">
        <v>0.92356687898089174</v>
      </c>
      <c r="AZ72" s="31">
        <v>0.93333333333333335</v>
      </c>
      <c r="BA72" s="31">
        <v>0.93312101910828027</v>
      </c>
      <c r="BB72" s="31">
        <v>0.90999367126341546</v>
      </c>
      <c r="BC72" s="31">
        <v>0.85785953177257523</v>
      </c>
      <c r="BD72" s="31">
        <v>0.8925619834710744</v>
      </c>
      <c r="BE72" s="31">
        <v>0.83220338983050846</v>
      </c>
      <c r="BF72" s="31">
        <v>0.82037996545768566</v>
      </c>
      <c r="BG72" s="31">
        <v>0.94666666666666666</v>
      </c>
      <c r="BH72" s="31">
        <v>0.90848585690515804</v>
      </c>
      <c r="BI72" s="31">
        <v>0.88383838383838387</v>
      </c>
      <c r="BJ72" s="31">
        <v>0.87742796827743608</v>
      </c>
      <c r="BK72" s="31">
        <v>0.79503105590062106</v>
      </c>
      <c r="BL72" s="31">
        <v>0.86310517529215358</v>
      </c>
      <c r="BM72" s="31">
        <v>0.81619937694704048</v>
      </c>
      <c r="BN72" s="31">
        <v>0.81350482315112538</v>
      </c>
      <c r="BO72" s="31">
        <v>0.865506329113924</v>
      </c>
      <c r="BP72" s="31">
        <v>0.85666104553119726</v>
      </c>
      <c r="BQ72" s="31">
        <v>0.89572649572649576</v>
      </c>
      <c r="BR72" s="31">
        <v>0.84367632880893673</v>
      </c>
      <c r="BS72" s="31">
        <v>0.80410742496050558</v>
      </c>
      <c r="BT72" s="31">
        <v>0.88083735909822869</v>
      </c>
      <c r="BU72" s="31">
        <v>0.87835703001579779</v>
      </c>
      <c r="BV72" s="31">
        <v>0.91065830721003138</v>
      </c>
      <c r="BW72" s="31">
        <v>0.82428115015974446</v>
      </c>
      <c r="BX72" s="31">
        <v>0.90599675850891415</v>
      </c>
      <c r="BY72" s="31">
        <v>0.86363636363636365</v>
      </c>
      <c r="BZ72" s="31">
        <v>0.86683919908422669</v>
      </c>
      <c r="CA72" s="31">
        <v>0.95268138801261826</v>
      </c>
      <c r="CB72" s="31">
        <v>0.90438871473354232</v>
      </c>
      <c r="CC72" s="31">
        <v>0.92924528301886788</v>
      </c>
      <c r="CD72" s="31">
        <v>0.95307443365695788</v>
      </c>
      <c r="CE72" s="31">
        <v>0.93740458015267181</v>
      </c>
      <c r="CF72" s="31">
        <v>0.90491283676703649</v>
      </c>
      <c r="CG72" s="31">
        <v>0.9024767801857585</v>
      </c>
      <c r="CH72" s="31">
        <v>0.9263120023610647</v>
      </c>
      <c r="CI72" s="31">
        <v>0.83360000000000001</v>
      </c>
      <c r="CJ72" s="31">
        <v>0.9461172741679873</v>
      </c>
      <c r="CK72" s="31">
        <v>0.83895705521472397</v>
      </c>
      <c r="CL72" s="31">
        <v>0.92449922958397535</v>
      </c>
      <c r="CM72" s="31">
        <v>0.90312499999999996</v>
      </c>
      <c r="CN72" s="31">
        <v>0.95512820512820518</v>
      </c>
      <c r="CO72" s="31">
        <v>0.91225416036308626</v>
      </c>
      <c r="CP72" s="31">
        <v>0.90195441777971108</v>
      </c>
      <c r="CQ72" s="31">
        <v>0.90580847723704871</v>
      </c>
      <c r="CR72" s="31">
        <v>0.92780337941628266</v>
      </c>
      <c r="CS72" s="31">
        <v>0.89348171701112877</v>
      </c>
      <c r="CT72" s="31">
        <v>0.88661417322834646</v>
      </c>
      <c r="CU72" s="31">
        <v>0.91679748822605966</v>
      </c>
      <c r="CV72" s="31">
        <v>0.89580093312597198</v>
      </c>
      <c r="CW72" s="31">
        <v>0.91021671826625383</v>
      </c>
      <c r="CX72" s="31">
        <v>0.90521755521587022</v>
      </c>
      <c r="CY72" s="31">
        <v>0.85581395348837208</v>
      </c>
      <c r="CZ72" s="31">
        <v>0.91968503937007873</v>
      </c>
      <c r="DA72" s="31">
        <v>0.84952978056426331</v>
      </c>
      <c r="DB72" s="31">
        <v>0.875</v>
      </c>
      <c r="DC72" s="31">
        <v>0.8842592592592593</v>
      </c>
      <c r="DD72" s="31">
        <v>0.87925696594427249</v>
      </c>
      <c r="DE72" s="31">
        <v>0.90895295902883155</v>
      </c>
      <c r="DF72" s="31">
        <v>0.88178542252215397</v>
      </c>
      <c r="DG72" s="31">
        <v>0.88820826952526799</v>
      </c>
      <c r="DH72" s="31">
        <v>0.90045941807044405</v>
      </c>
      <c r="DI72" s="31">
        <v>0.88888888888888884</v>
      </c>
      <c r="DJ72" s="31">
        <v>0.88372093023255816</v>
      </c>
      <c r="DK72" s="31">
        <v>0.89554531490015366</v>
      </c>
      <c r="DL72" s="31">
        <v>0.89007633587786261</v>
      </c>
      <c r="DM72" s="31">
        <v>0.91411042944785281</v>
      </c>
      <c r="DN72" s="31">
        <v>0.89442994099186124</v>
      </c>
      <c r="DO72" s="31">
        <v>0.88368580060422963</v>
      </c>
      <c r="DP72" s="31">
        <v>0.90396341463414631</v>
      </c>
      <c r="DQ72" s="31">
        <v>0.85220125786163525</v>
      </c>
      <c r="DR72" s="31">
        <v>0.88095238095238093</v>
      </c>
      <c r="DS72" s="31">
        <v>0.87962962962962965</v>
      </c>
      <c r="DT72" s="31">
        <v>0.88888888888888884</v>
      </c>
      <c r="DU72" s="31">
        <v>0.89522342064714944</v>
      </c>
      <c r="DV72" s="31">
        <v>0.88350639903115147</v>
      </c>
      <c r="DW72" s="31">
        <v>0.88717156105100459</v>
      </c>
      <c r="DX72" s="31">
        <v>0.88888888888888884</v>
      </c>
      <c r="DY72" s="31">
        <v>0.89953632148377127</v>
      </c>
      <c r="DZ72" s="31">
        <v>0.90202177293934682</v>
      </c>
      <c r="EA72" s="31">
        <v>0.90184049079754602</v>
      </c>
      <c r="EB72" s="31">
        <v>0.93120000000000003</v>
      </c>
      <c r="EC72" s="31">
        <v>0.91200000000000003</v>
      </c>
      <c r="ED72" s="31">
        <v>0.90323700502293669</v>
      </c>
      <c r="EE72" s="31">
        <v>0.88280060882800604</v>
      </c>
      <c r="EF72" s="31">
        <v>0.89127105666156203</v>
      </c>
      <c r="EG72" s="31">
        <v>0.90797546012269936</v>
      </c>
      <c r="EH72" s="31">
        <v>0.9214501510574018</v>
      </c>
      <c r="EI72" s="31">
        <v>0.91743119266055051</v>
      </c>
      <c r="EJ72" s="31">
        <v>0.92564491654021241</v>
      </c>
      <c r="EK72" s="31">
        <v>0.91768292682926833</v>
      </c>
      <c r="EL72" s="31">
        <v>0.90917947324281445</v>
      </c>
    </row>
    <row r="73" spans="38:142" x14ac:dyDescent="0.35">
      <c r="AL73" s="19" t="s">
        <v>122</v>
      </c>
      <c r="AM73" s="31">
        <v>0.81568627450980391</v>
      </c>
      <c r="AN73" s="31">
        <v>0.77443609022556392</v>
      </c>
      <c r="AO73" s="31">
        <v>0.76579925650557623</v>
      </c>
      <c r="AP73" s="31">
        <v>0.79182156133828996</v>
      </c>
      <c r="AQ73" s="31">
        <v>0.72916666666666663</v>
      </c>
      <c r="AR73" s="31">
        <v>0.80933852140077822</v>
      </c>
      <c r="AS73" s="31">
        <v>0.76679841897233203</v>
      </c>
      <c r="AT73" s="31">
        <v>0.77900668423128738</v>
      </c>
      <c r="AU73" s="31">
        <v>0.79928315412186379</v>
      </c>
      <c r="AV73" s="31">
        <v>0.83333333333333337</v>
      </c>
      <c r="AW73" s="31">
        <v>0.74452554744525545</v>
      </c>
      <c r="AX73" s="31">
        <v>0.74452554744525545</v>
      </c>
      <c r="AY73" s="31">
        <v>0.78832116788321172</v>
      </c>
      <c r="AZ73" s="31">
        <v>0.80586080586080588</v>
      </c>
      <c r="BA73" s="31">
        <v>0.78102189781021902</v>
      </c>
      <c r="BB73" s="31">
        <v>0.78526735055713492</v>
      </c>
      <c r="BC73" s="31">
        <v>0.81338028169014087</v>
      </c>
      <c r="BD73" s="31">
        <v>0.7857142857142857</v>
      </c>
      <c r="BE73" s="31">
        <v>0.74021352313167255</v>
      </c>
      <c r="BF73" s="31">
        <v>0.76388888888888884</v>
      </c>
      <c r="BG73" s="31">
        <v>0.80144404332129959</v>
      </c>
      <c r="BH73" s="31">
        <v>0.80514705882352944</v>
      </c>
      <c r="BI73" s="31">
        <v>0.79487179487179482</v>
      </c>
      <c r="BJ73" s="31">
        <v>0.7863799823488018</v>
      </c>
      <c r="BK73" s="31">
        <v>0.65357142857142858</v>
      </c>
      <c r="BL73" s="31">
        <v>0.7903780068728522</v>
      </c>
      <c r="BM73" s="31">
        <v>0.67741935483870963</v>
      </c>
      <c r="BN73" s="31">
        <v>0.75</v>
      </c>
      <c r="BO73" s="31">
        <v>0.74570446735395191</v>
      </c>
      <c r="BP73" s="31">
        <v>0.80487804878048785</v>
      </c>
      <c r="BQ73" s="31">
        <v>0.7854671280276817</v>
      </c>
      <c r="BR73" s="31">
        <v>0.74391691920644454</v>
      </c>
      <c r="BS73" s="31">
        <v>0.76094276094276092</v>
      </c>
      <c r="BT73" s="31">
        <v>0.7359154929577465</v>
      </c>
      <c r="BU73" s="31">
        <v>0.76490066225165565</v>
      </c>
      <c r="BV73" s="31">
        <v>0.77814569536423839</v>
      </c>
      <c r="BW73" s="31">
        <v>0.8122866894197952</v>
      </c>
      <c r="BX73" s="31">
        <v>0.79649122807017547</v>
      </c>
      <c r="BY73" s="31">
        <v>0.80769230769230771</v>
      </c>
      <c r="BZ73" s="31">
        <v>0.77948211952838287</v>
      </c>
      <c r="CA73" s="31">
        <v>0.78929765886287628</v>
      </c>
      <c r="CB73" s="31">
        <v>0.83388704318936879</v>
      </c>
      <c r="CC73" s="31">
        <v>0.73776223776223782</v>
      </c>
      <c r="CD73" s="31">
        <v>0.75342465753424659</v>
      </c>
      <c r="CE73" s="31">
        <v>0.79865771812080533</v>
      </c>
      <c r="CF73" s="31">
        <v>0.8203389830508474</v>
      </c>
      <c r="CG73" s="31">
        <v>0.80201342281879195</v>
      </c>
      <c r="CH73" s="31">
        <v>0.79076881733416771</v>
      </c>
      <c r="CI73" s="31">
        <v>0.75085324232081907</v>
      </c>
      <c r="CJ73" s="31">
        <v>0.7448275862068966</v>
      </c>
      <c r="CK73" s="31">
        <v>0.78231292517006801</v>
      </c>
      <c r="CL73" s="31">
        <v>0.79655172413793107</v>
      </c>
      <c r="CM73" s="31">
        <v>0.75432525951557095</v>
      </c>
      <c r="CN73" s="31">
        <v>0.8</v>
      </c>
      <c r="CO73" s="31">
        <v>0.79861111111111116</v>
      </c>
      <c r="CP73" s="31">
        <v>0.77535454978034246</v>
      </c>
      <c r="CQ73" s="31">
        <v>0.83050847457627119</v>
      </c>
      <c r="CR73" s="31">
        <v>0.8</v>
      </c>
      <c r="CS73" s="31">
        <v>0.81016949152542372</v>
      </c>
      <c r="CT73" s="31">
        <v>0.83108108108108103</v>
      </c>
      <c r="CU73" s="31">
        <v>0.83</v>
      </c>
      <c r="CV73" s="31">
        <v>0.8203389830508474</v>
      </c>
      <c r="CW73" s="31">
        <v>0.81879194630872487</v>
      </c>
      <c r="CX73" s="31">
        <v>0.82012713950604965</v>
      </c>
      <c r="CY73" s="31">
        <v>0.79251700680272108</v>
      </c>
      <c r="CZ73" s="31">
        <v>0.82372881355932204</v>
      </c>
      <c r="DA73" s="31">
        <v>0.72413793103448276</v>
      </c>
      <c r="DB73" s="31">
        <v>0.75085324232081907</v>
      </c>
      <c r="DC73" s="31">
        <v>0.78498293515358364</v>
      </c>
      <c r="DD73" s="31">
        <v>0.83445945945945943</v>
      </c>
      <c r="DE73" s="31">
        <v>0.8203389830508474</v>
      </c>
      <c r="DF73" s="31">
        <v>0.79014548162589082</v>
      </c>
      <c r="DG73" s="31">
        <v>0.70446735395189009</v>
      </c>
      <c r="DH73" s="31">
        <v>0.75085324232081907</v>
      </c>
      <c r="DI73" s="31">
        <v>0.70370370370370372</v>
      </c>
      <c r="DJ73" s="31">
        <v>0.71812080536912748</v>
      </c>
      <c r="DK73" s="31">
        <v>0.73986486486486491</v>
      </c>
      <c r="DL73" s="31">
        <v>0.7830508474576271</v>
      </c>
      <c r="DM73" s="31">
        <v>0.73737373737373735</v>
      </c>
      <c r="DN73" s="31">
        <v>0.73391922214882421</v>
      </c>
      <c r="DO73" s="31">
        <v>0.78644067796610173</v>
      </c>
      <c r="DP73" s="31">
        <v>0.73825503355704702</v>
      </c>
      <c r="DQ73" s="31">
        <v>0.71621621621621623</v>
      </c>
      <c r="DR73" s="31">
        <v>0.73578595317725748</v>
      </c>
      <c r="DS73" s="31">
        <v>0.79264214046822745</v>
      </c>
      <c r="DT73" s="31">
        <v>0.77441077441077444</v>
      </c>
      <c r="DU73" s="31">
        <v>0.78929765886287628</v>
      </c>
      <c r="DV73" s="31">
        <v>0.76186406495121428</v>
      </c>
      <c r="DW73" s="31">
        <v>0.7533333333333333</v>
      </c>
      <c r="DX73" s="31">
        <v>0.72818791946308725</v>
      </c>
      <c r="DY73" s="31">
        <v>0.75757575757575757</v>
      </c>
      <c r="DZ73" s="31">
        <v>0.77441077441077444</v>
      </c>
      <c r="EA73" s="31">
        <v>0.77591973244147161</v>
      </c>
      <c r="EB73" s="31">
        <v>0.75666666666666671</v>
      </c>
      <c r="EC73" s="31">
        <v>0.734006734006734</v>
      </c>
      <c r="ED73" s="31">
        <v>0.75430013112826066</v>
      </c>
      <c r="EE73" s="31">
        <v>0.80602006688963213</v>
      </c>
      <c r="EF73" s="31">
        <v>0.81144781144781142</v>
      </c>
      <c r="EG73" s="31">
        <v>0.74496644295302017</v>
      </c>
      <c r="EH73" s="31">
        <v>0.75415282392026584</v>
      </c>
      <c r="EI73" s="31">
        <v>0.83388704318936879</v>
      </c>
      <c r="EJ73" s="31">
        <v>0.79069767441860461</v>
      </c>
      <c r="EK73" s="31">
        <v>0.8039867109634552</v>
      </c>
      <c r="EL73" s="31">
        <v>0.79216551054030837</v>
      </c>
    </row>
    <row r="74" spans="38:142" x14ac:dyDescent="0.35">
      <c r="AL74" s="19" t="s">
        <v>123</v>
      </c>
      <c r="AM74" s="31">
        <v>0.95598591549295775</v>
      </c>
      <c r="AN74" s="31">
        <v>0.92657342657342656</v>
      </c>
      <c r="AO74" s="31">
        <v>0.92882562277580072</v>
      </c>
      <c r="AP74" s="31">
        <v>0.94052044609665431</v>
      </c>
      <c r="AQ74" s="31">
        <v>0.94645941278065626</v>
      </c>
      <c r="AR74" s="31">
        <v>0.95630252100840341</v>
      </c>
      <c r="AS74" s="31">
        <v>0.94207836456558769</v>
      </c>
      <c r="AT74" s="31">
        <v>0.94239224418478373</v>
      </c>
      <c r="AU74" s="31">
        <v>0.93377483443708609</v>
      </c>
      <c r="AV74" s="31">
        <v>0.95911413969335602</v>
      </c>
      <c r="AW74" s="31">
        <v>0.85878489326765184</v>
      </c>
      <c r="AX74" s="31">
        <v>0.8308702791461412</v>
      </c>
      <c r="AY74" s="31">
        <v>0.93979933110367897</v>
      </c>
      <c r="AZ74" s="31">
        <v>0.94047619047619047</v>
      </c>
      <c r="BA74" s="31">
        <v>0.9315960912052117</v>
      </c>
      <c r="BB74" s="31">
        <v>0.91348796561847367</v>
      </c>
      <c r="BC74" s="31">
        <v>0.88870431893687707</v>
      </c>
      <c r="BD74" s="31">
        <v>0.89900662251655628</v>
      </c>
      <c r="BE74" s="31">
        <v>0.87328767123287676</v>
      </c>
      <c r="BF74" s="31">
        <v>0.90705679862306365</v>
      </c>
      <c r="BG74" s="31">
        <v>0.91181364392678865</v>
      </c>
      <c r="BH74" s="31">
        <v>0.90819672131147544</v>
      </c>
      <c r="BI74" s="31">
        <v>0.88585209003215437</v>
      </c>
      <c r="BJ74" s="31">
        <v>0.89627398093997024</v>
      </c>
      <c r="BK74" s="31">
        <v>0.79422382671480141</v>
      </c>
      <c r="BL74" s="31">
        <v>0.89482758620689651</v>
      </c>
      <c r="BM74" s="31">
        <v>0.80036297640653353</v>
      </c>
      <c r="BN74" s="31">
        <v>0.7971781305114638</v>
      </c>
      <c r="BO74" s="31">
        <v>0.84444444444444444</v>
      </c>
      <c r="BP74" s="31">
        <v>0.87817258883248728</v>
      </c>
      <c r="BQ74" s="31">
        <v>0.87563884156729133</v>
      </c>
      <c r="BR74" s="31">
        <v>0.84069262781198828</v>
      </c>
      <c r="BS74" s="31">
        <v>0.84027777777777779</v>
      </c>
      <c r="BT74" s="31">
        <v>0.843585237258348</v>
      </c>
      <c r="BU74" s="31">
        <v>0.87207207207207205</v>
      </c>
      <c r="BV74" s="31">
        <v>0.85139860139860135</v>
      </c>
      <c r="BW74" s="31">
        <v>0.84467713787085519</v>
      </c>
      <c r="BX74" s="31">
        <v>0.86250000000000004</v>
      </c>
      <c r="BY74" s="31">
        <v>0.86010362694300513</v>
      </c>
      <c r="BZ74" s="31">
        <v>0.85351635047438001</v>
      </c>
      <c r="CA74" s="31">
        <v>0.85989492119089317</v>
      </c>
      <c r="CB74" s="31">
        <v>0.86363636363636365</v>
      </c>
      <c r="CC74" s="31">
        <v>0.85537918871252205</v>
      </c>
      <c r="CD74" s="31">
        <v>0.83542039355992848</v>
      </c>
      <c r="CE74" s="31">
        <v>0.85618729096989965</v>
      </c>
      <c r="CF74" s="31">
        <v>0.90747330960854089</v>
      </c>
      <c r="CG74" s="31">
        <v>0.87800687285223367</v>
      </c>
      <c r="CH74" s="31">
        <v>0.86514262007576881</v>
      </c>
      <c r="CI74" s="31">
        <v>0.85486725663716812</v>
      </c>
      <c r="CJ74" s="31">
        <v>0.86458333333333337</v>
      </c>
      <c r="CK74" s="31">
        <v>0.84587813620071683</v>
      </c>
      <c r="CL74" s="31">
        <v>0.82807017543859651</v>
      </c>
      <c r="CM74" s="31">
        <v>0.86986301369863017</v>
      </c>
      <c r="CN74" s="31">
        <v>0.87666666666666671</v>
      </c>
      <c r="CO74" s="31">
        <v>0.9008403361344538</v>
      </c>
      <c r="CP74" s="31">
        <v>0.86296698830136642</v>
      </c>
      <c r="CQ74" s="31">
        <v>0.88391376451077941</v>
      </c>
      <c r="CR74" s="31">
        <v>0.83985765124555156</v>
      </c>
      <c r="CS74" s="31">
        <v>0.84060402684563762</v>
      </c>
      <c r="CT74" s="31">
        <v>0.8743633276740238</v>
      </c>
      <c r="CU74" s="31">
        <v>0.87563025210084033</v>
      </c>
      <c r="CV74" s="31">
        <v>0.87765957446808507</v>
      </c>
      <c r="CW74" s="31">
        <v>0.88428324697754745</v>
      </c>
      <c r="CX74" s="31">
        <v>0.86804454911749507</v>
      </c>
      <c r="CY74" s="31">
        <v>0.85191082802547768</v>
      </c>
      <c r="CZ74" s="31">
        <v>0.88756388415672915</v>
      </c>
      <c r="DA74" s="31">
        <v>0.84615384615384615</v>
      </c>
      <c r="DB74" s="31">
        <v>0.84688995215311003</v>
      </c>
      <c r="DC74" s="31">
        <v>0.88</v>
      </c>
      <c r="DD74" s="31">
        <v>0.91479099678456588</v>
      </c>
      <c r="DE74" s="31">
        <v>0.89064976228209192</v>
      </c>
      <c r="DF74" s="31">
        <v>0.87399418136511731</v>
      </c>
      <c r="DG74" s="31">
        <v>0.88782051282051277</v>
      </c>
      <c r="DH74" s="31">
        <v>0.86816720257234725</v>
      </c>
      <c r="DI74" s="31">
        <v>0.81626016260162604</v>
      </c>
      <c r="DJ74" s="31">
        <v>0.82247557003257332</v>
      </c>
      <c r="DK74" s="31">
        <v>0.8838304552590267</v>
      </c>
      <c r="DL74" s="31">
        <v>0.88375796178343946</v>
      </c>
      <c r="DM74" s="31">
        <v>0.87244094488188972</v>
      </c>
      <c r="DN74" s="31">
        <v>0.86210754427877367</v>
      </c>
      <c r="DO74" s="31">
        <v>0.87331081081081086</v>
      </c>
      <c r="DP74" s="31">
        <v>0.85064935064935066</v>
      </c>
      <c r="DQ74" s="31">
        <v>0.85324232081911267</v>
      </c>
      <c r="DR74" s="31">
        <v>0.88737201365187712</v>
      </c>
      <c r="DS74" s="31">
        <v>0.8452579034941764</v>
      </c>
      <c r="DT74" s="31">
        <v>0.88417618270799347</v>
      </c>
      <c r="DU74" s="31">
        <v>0.87337662337662336</v>
      </c>
      <c r="DV74" s="31">
        <v>0.86676931507284916</v>
      </c>
      <c r="DW74" s="31">
        <v>0.9261744966442953</v>
      </c>
      <c r="DX74" s="31">
        <v>0.90427350427350428</v>
      </c>
      <c r="DY74" s="31">
        <v>0.89983305509181966</v>
      </c>
      <c r="DZ74" s="31">
        <v>0.93949579831932772</v>
      </c>
      <c r="EA74" s="31">
        <v>0.92218543046357615</v>
      </c>
      <c r="EB74" s="31">
        <v>0.94270833333333337</v>
      </c>
      <c r="EC74" s="31">
        <v>0.90404040404040409</v>
      </c>
      <c r="ED74" s="31">
        <v>0.91981586030946594</v>
      </c>
      <c r="EE74" s="31">
        <v>0.91437802907915988</v>
      </c>
      <c r="EF74" s="31">
        <v>0.93949579831932772</v>
      </c>
      <c r="EG74" s="31">
        <v>0.88292682926829269</v>
      </c>
      <c r="EH74" s="31">
        <v>0.91147540983606556</v>
      </c>
      <c r="EI74" s="31">
        <v>0.94516129032258067</v>
      </c>
      <c r="EJ74" s="31">
        <v>0.93591905564924116</v>
      </c>
      <c r="EK74" s="31">
        <v>0.93265993265993263</v>
      </c>
      <c r="EL74" s="31">
        <v>0.92314519216208579</v>
      </c>
    </row>
    <row r="75" spans="38:142" x14ac:dyDescent="0.35">
      <c r="AL75" s="19" t="s">
        <v>124</v>
      </c>
      <c r="AM75" s="31">
        <v>0.82444733420026006</v>
      </c>
      <c r="AN75" s="31">
        <v>0.75</v>
      </c>
      <c r="AO75" s="31">
        <v>0.77080665813060179</v>
      </c>
      <c r="AP75" s="31">
        <v>0.79743589743589749</v>
      </c>
      <c r="AQ75" s="31">
        <v>0.80025445292620867</v>
      </c>
      <c r="AR75" s="31">
        <v>0.80730478589420651</v>
      </c>
      <c r="AS75" s="31">
        <v>0.78125</v>
      </c>
      <c r="AT75" s="31">
        <v>0.79021416122673926</v>
      </c>
      <c r="AU75" s="31">
        <v>0.83812949640287771</v>
      </c>
      <c r="AV75" s="31">
        <v>0.82533825338253386</v>
      </c>
      <c r="AW75" s="31">
        <v>0.82832080200501257</v>
      </c>
      <c r="AX75" s="31">
        <v>0.8379396984924623</v>
      </c>
      <c r="AY75" s="31">
        <v>0.85149700598802391</v>
      </c>
      <c r="AZ75" s="31">
        <v>0.84318455971049455</v>
      </c>
      <c r="BA75" s="31">
        <v>0.85817307692307687</v>
      </c>
      <c r="BB75" s="31">
        <v>0.84036898470064014</v>
      </c>
      <c r="BC75" s="31">
        <v>0.81418092909535456</v>
      </c>
      <c r="BD75" s="31">
        <v>0.86223862238622384</v>
      </c>
      <c r="BE75" s="31">
        <v>0.76691729323308266</v>
      </c>
      <c r="BF75" s="31">
        <v>0.76485461441213654</v>
      </c>
      <c r="BG75" s="31">
        <v>0.83151515151515154</v>
      </c>
      <c r="BH75" s="31">
        <v>0.86924939467312345</v>
      </c>
      <c r="BI75" s="31">
        <v>0.84914841849148415</v>
      </c>
      <c r="BJ75" s="31">
        <v>0.82258634625807958</v>
      </c>
      <c r="BK75" s="31">
        <v>0.59263803680981597</v>
      </c>
      <c r="BL75" s="31">
        <v>0.75485436893203883</v>
      </c>
      <c r="BM75" s="31">
        <v>0.63222632226322262</v>
      </c>
      <c r="BN75" s="31">
        <v>0.6576687116564417</v>
      </c>
      <c r="BO75" s="31">
        <v>0.6751207729468599</v>
      </c>
      <c r="BP75" s="31">
        <v>0.75358851674641147</v>
      </c>
      <c r="BQ75" s="31">
        <v>0.72154963680387407</v>
      </c>
      <c r="BR75" s="31">
        <v>0.68394948087980911</v>
      </c>
      <c r="BS75" s="31">
        <v>0.76296296296296295</v>
      </c>
      <c r="BT75" s="31">
        <v>0.67892156862745101</v>
      </c>
      <c r="BU75" s="31">
        <v>0.73514851485148514</v>
      </c>
      <c r="BV75" s="31">
        <v>0.77722772277227725</v>
      </c>
      <c r="BW75" s="31">
        <v>0.79126213592233008</v>
      </c>
      <c r="BX75" s="31">
        <v>0.76073619631901845</v>
      </c>
      <c r="BY75" s="31">
        <v>0.78098676293622138</v>
      </c>
      <c r="BZ75" s="31">
        <v>0.7553208377702495</v>
      </c>
      <c r="CA75" s="31">
        <v>0.798569725864124</v>
      </c>
      <c r="CB75" s="31">
        <v>0.79481132075471694</v>
      </c>
      <c r="CC75" s="31">
        <v>0.79433497536945807</v>
      </c>
      <c r="CD75" s="31">
        <v>0.79289215686274506</v>
      </c>
      <c r="CE75" s="31">
        <v>0.81228273464658174</v>
      </c>
      <c r="CF75" s="31">
        <v>0.81818181818181823</v>
      </c>
      <c r="CG75" s="31">
        <v>0.80851063829787229</v>
      </c>
      <c r="CH75" s="31">
        <v>0.8027976242824737</v>
      </c>
      <c r="CI75" s="31">
        <v>0.81463414634146336</v>
      </c>
      <c r="CJ75" s="31">
        <v>0.82996432818073718</v>
      </c>
      <c r="CK75" s="31">
        <v>0.78244274809160308</v>
      </c>
      <c r="CL75" s="31">
        <v>0.75959079283887465</v>
      </c>
      <c r="CM75" s="31">
        <v>0.84975961538461542</v>
      </c>
      <c r="CN75" s="31">
        <v>0.8530465949820788</v>
      </c>
      <c r="CO75" s="31">
        <v>0.84885126964933499</v>
      </c>
      <c r="CP75" s="31">
        <v>0.81975564220981523</v>
      </c>
      <c r="CQ75" s="31">
        <v>0.77777777777777779</v>
      </c>
      <c r="CR75" s="31">
        <v>0.80223880597014929</v>
      </c>
      <c r="CS75" s="31">
        <v>0.77833753148614615</v>
      </c>
      <c r="CT75" s="31">
        <v>0.77777777777777779</v>
      </c>
      <c r="CU75" s="31">
        <v>0.78960396039603964</v>
      </c>
      <c r="CV75" s="31">
        <v>0.82732919254658388</v>
      </c>
      <c r="CW75" s="31">
        <v>0.81378476420798063</v>
      </c>
      <c r="CX75" s="31">
        <v>0.79526425859463645</v>
      </c>
      <c r="CY75" s="31">
        <v>0.74760765550239239</v>
      </c>
      <c r="CZ75" s="31">
        <v>0.78128797083839607</v>
      </c>
      <c r="DA75" s="31">
        <v>0.72506082725060828</v>
      </c>
      <c r="DB75" s="31">
        <v>0.73086419753086418</v>
      </c>
      <c r="DC75" s="31">
        <v>0.74759615384615385</v>
      </c>
      <c r="DD75" s="31">
        <v>0.80190930787589498</v>
      </c>
      <c r="DE75" s="31">
        <v>0.77723970944309928</v>
      </c>
      <c r="DF75" s="31">
        <v>0.7587951174696298</v>
      </c>
      <c r="DG75" s="31">
        <v>0.76096997690531176</v>
      </c>
      <c r="DH75" s="31">
        <v>0.77502944640753824</v>
      </c>
      <c r="DI75" s="31">
        <v>0.7317365269461078</v>
      </c>
      <c r="DJ75" s="31">
        <v>0.7249698431845597</v>
      </c>
      <c r="DK75" s="31">
        <v>0.78387850467289721</v>
      </c>
      <c r="DL75" s="31">
        <v>0.78688524590163933</v>
      </c>
      <c r="DM75" s="31">
        <v>0.8014184397163121</v>
      </c>
      <c r="DN75" s="31">
        <v>0.7664125691049094</v>
      </c>
      <c r="DO75" s="31">
        <v>0.72413793103448276</v>
      </c>
      <c r="DP75" s="31">
        <v>0.73100120627261767</v>
      </c>
      <c r="DQ75" s="31">
        <v>0.73483947681331752</v>
      </c>
      <c r="DR75" s="31">
        <v>0.72760290556900731</v>
      </c>
      <c r="DS75" s="31">
        <v>0.73130841121495327</v>
      </c>
      <c r="DT75" s="31">
        <v>0.73014018691588789</v>
      </c>
      <c r="DU75" s="31">
        <v>0.71445221445221441</v>
      </c>
      <c r="DV75" s="31">
        <v>0.72764033318178301</v>
      </c>
      <c r="DW75" s="31">
        <v>0.77002288329519453</v>
      </c>
      <c r="DX75" s="31">
        <v>0.75087719298245614</v>
      </c>
      <c r="DY75" s="31">
        <v>0.74432497013142174</v>
      </c>
      <c r="DZ75" s="31">
        <v>0.75299760191846521</v>
      </c>
      <c r="EA75" s="31">
        <v>0.76443418013856812</v>
      </c>
      <c r="EB75" s="31">
        <v>0.75</v>
      </c>
      <c r="EC75" s="31">
        <v>0.77197149643705465</v>
      </c>
      <c r="ED75" s="31">
        <v>0.75780404641473709</v>
      </c>
      <c r="EE75" s="31">
        <v>0.81961668545659527</v>
      </c>
      <c r="EF75" s="31">
        <v>0.78686635944700456</v>
      </c>
      <c r="EG75" s="31">
        <v>0.76694411414982167</v>
      </c>
      <c r="EH75" s="31">
        <v>0.73136094674556218</v>
      </c>
      <c r="EI75" s="31">
        <v>0.81164383561643838</v>
      </c>
      <c r="EJ75" s="31">
        <v>0.80795454545454548</v>
      </c>
      <c r="EK75" s="31">
        <v>0.7995310668229777</v>
      </c>
      <c r="EL75" s="31">
        <v>0.78913107909899227</v>
      </c>
    </row>
    <row r="76" spans="38:142" x14ac:dyDescent="0.35">
      <c r="AL76" s="19" t="s">
        <v>125</v>
      </c>
      <c r="AM76" s="31">
        <v>0.83959044368600677</v>
      </c>
      <c r="AN76" s="31">
        <v>0.81931034482758625</v>
      </c>
      <c r="AO76" s="31">
        <v>0.78918548939082822</v>
      </c>
      <c r="AP76" s="31">
        <v>0.82317073170731703</v>
      </c>
      <c r="AQ76" s="31">
        <v>0.84909596662030595</v>
      </c>
      <c r="AR76" s="31">
        <v>0.83870967741935487</v>
      </c>
      <c r="AS76" s="31">
        <v>0.8426888426888427</v>
      </c>
      <c r="AT76" s="31">
        <v>0.82882164233432021</v>
      </c>
      <c r="AU76" s="31">
        <v>0.82341001353179977</v>
      </c>
      <c r="AV76" s="31">
        <v>0.84355616815988976</v>
      </c>
      <c r="AW76" s="31">
        <v>0.80638586956521741</v>
      </c>
      <c r="AX76" s="31">
        <v>0.81774415405777168</v>
      </c>
      <c r="AY76" s="31">
        <v>0.80802675585284278</v>
      </c>
      <c r="AZ76" s="31">
        <v>0.83231913455037188</v>
      </c>
      <c r="BA76" s="31">
        <v>0.824966078697422</v>
      </c>
      <c r="BB76" s="31">
        <v>0.82234402491647363</v>
      </c>
      <c r="BC76" s="31">
        <v>0.76814516129032262</v>
      </c>
      <c r="BD76" s="31">
        <v>0.84041095890410955</v>
      </c>
      <c r="BE76" s="31">
        <v>0.8475033738191633</v>
      </c>
      <c r="BF76" s="31">
        <v>0.82872555630478761</v>
      </c>
      <c r="BG76" s="31">
        <v>0.84381204500330909</v>
      </c>
      <c r="BH76" s="31">
        <v>0.85503355704697992</v>
      </c>
      <c r="BI76" s="31">
        <v>0.84916943521594679</v>
      </c>
      <c r="BJ76" s="31">
        <v>0.83325715536923128</v>
      </c>
      <c r="BK76" s="31">
        <v>0.71388301620859762</v>
      </c>
      <c r="BL76" s="31">
        <v>0.84459459459459463</v>
      </c>
      <c r="BM76" s="31">
        <v>0.7415730337078652</v>
      </c>
      <c r="BN76" s="31">
        <v>0.80339462517680338</v>
      </c>
      <c r="BO76" s="31">
        <v>0.81134654818865348</v>
      </c>
      <c r="BP76" s="31">
        <v>0.86185983827493262</v>
      </c>
      <c r="BQ76" s="31">
        <v>0.84121621621621623</v>
      </c>
      <c r="BR76" s="31">
        <v>0.80255255319538044</v>
      </c>
      <c r="BS76" s="31">
        <v>0.81521739130434778</v>
      </c>
      <c r="BT76" s="31">
        <v>0.83065080475857245</v>
      </c>
      <c r="BU76" s="31">
        <v>0.84192672998643148</v>
      </c>
      <c r="BV76" s="31">
        <v>0.84772263766145484</v>
      </c>
      <c r="BW76" s="31">
        <v>0.87094547964113178</v>
      </c>
      <c r="BX76" s="31">
        <v>0.84455239417071482</v>
      </c>
      <c r="BY76" s="31">
        <v>0.86707566462167684</v>
      </c>
      <c r="BZ76" s="31">
        <v>0.84544158602061859</v>
      </c>
      <c r="CA76" s="31">
        <v>0.88978494623655913</v>
      </c>
      <c r="CB76" s="31">
        <v>0.87116564417177911</v>
      </c>
      <c r="CC76" s="31">
        <v>0.84568733153638809</v>
      </c>
      <c r="CD76" s="31">
        <v>0.84574111334674718</v>
      </c>
      <c r="CE76" s="31">
        <v>0.87525286581254214</v>
      </c>
      <c r="CF76" s="31">
        <v>0.88195841716968482</v>
      </c>
      <c r="CG76" s="31">
        <v>0.8858477970627503</v>
      </c>
      <c r="CH76" s="31">
        <v>0.87077687361949307</v>
      </c>
      <c r="CI76" s="31">
        <v>0.85733244857332447</v>
      </c>
      <c r="CJ76" s="31">
        <v>0.86710963455149503</v>
      </c>
      <c r="CK76" s="31">
        <v>0.82742474916387965</v>
      </c>
      <c r="CL76" s="31">
        <v>0.83522348232154775</v>
      </c>
      <c r="CM76" s="31">
        <v>0.86595174262734587</v>
      </c>
      <c r="CN76" s="31">
        <v>0.8870431893687708</v>
      </c>
      <c r="CO76" s="31">
        <v>0.87598944591029027</v>
      </c>
      <c r="CP76" s="31">
        <v>0.8594392417880935</v>
      </c>
      <c r="CQ76" s="31">
        <v>0.87787261982928433</v>
      </c>
      <c r="CR76" s="31">
        <v>0.85472972972972971</v>
      </c>
      <c r="CS76" s="31">
        <v>0.87133333333333329</v>
      </c>
      <c r="CT76" s="31">
        <v>0.86432825943084046</v>
      </c>
      <c r="CU76" s="31">
        <v>0.88613529805760216</v>
      </c>
      <c r="CV76" s="31">
        <v>0.88557887610020314</v>
      </c>
      <c r="CW76" s="31">
        <v>0.86956521739130432</v>
      </c>
      <c r="CX76" s="31">
        <v>0.87279190483889957</v>
      </c>
      <c r="CY76" s="31">
        <v>0.84610259826782142</v>
      </c>
      <c r="CZ76" s="31">
        <v>0.87169312169312174</v>
      </c>
      <c r="DA76" s="31">
        <v>0.81647689216342934</v>
      </c>
      <c r="DB76" s="31">
        <v>0.82364864864864862</v>
      </c>
      <c r="DC76" s="31">
        <v>0.83896620278330025</v>
      </c>
      <c r="DD76" s="31">
        <v>0.86826347305389218</v>
      </c>
      <c r="DE76" s="31">
        <v>0.85552596537949399</v>
      </c>
      <c r="DF76" s="31">
        <v>0.84581098599852955</v>
      </c>
      <c r="DG76" s="31">
        <v>0.8586135895676047</v>
      </c>
      <c r="DH76" s="31">
        <v>0.84217595701813297</v>
      </c>
      <c r="DI76" s="31">
        <v>0.84439973172367544</v>
      </c>
      <c r="DJ76" s="31">
        <v>0.8606060606060606</v>
      </c>
      <c r="DK76" s="31">
        <v>0.86341798215511323</v>
      </c>
      <c r="DL76" s="31">
        <v>0.84676882078614257</v>
      </c>
      <c r="DM76" s="31">
        <v>0.84543010752688175</v>
      </c>
      <c r="DN76" s="31">
        <v>0.85163032134051586</v>
      </c>
      <c r="DO76" s="31">
        <v>0.84132343011478727</v>
      </c>
      <c r="DP76" s="31">
        <v>0.88326585695006743</v>
      </c>
      <c r="DQ76" s="31">
        <v>0.84952766531713897</v>
      </c>
      <c r="DR76" s="31">
        <v>0.83927370544720914</v>
      </c>
      <c r="DS76" s="31">
        <v>0.86001339584728731</v>
      </c>
      <c r="DT76" s="31">
        <v>0.88329979879275655</v>
      </c>
      <c r="DU76" s="31">
        <v>0.86939048894842597</v>
      </c>
      <c r="DV76" s="31">
        <v>0.86087062020252458</v>
      </c>
      <c r="DW76" s="31">
        <v>0.86784741144414168</v>
      </c>
      <c r="DX76" s="31">
        <v>0.85578876100203116</v>
      </c>
      <c r="DY76" s="31">
        <v>0.85665294924554181</v>
      </c>
      <c r="DZ76" s="31">
        <v>0.85061391541609821</v>
      </c>
      <c r="EA76" s="31">
        <v>0.88100208768267219</v>
      </c>
      <c r="EB76" s="31">
        <v>0.89189189189189189</v>
      </c>
      <c r="EC76" s="31">
        <v>0.86904761904761907</v>
      </c>
      <c r="ED76" s="31">
        <v>0.86754923367571379</v>
      </c>
      <c r="EE76" s="31">
        <v>0.84751531654186518</v>
      </c>
      <c r="EF76" s="31">
        <v>0.87260273972602742</v>
      </c>
      <c r="EG76" s="31">
        <v>0.817234190410007</v>
      </c>
      <c r="EH76" s="31">
        <v>0.8348306841741534</v>
      </c>
      <c r="EI76" s="31">
        <v>0.86594448205822616</v>
      </c>
      <c r="EJ76" s="31">
        <v>0.88813559322033897</v>
      </c>
      <c r="EK76" s="31">
        <v>0.87737127371273715</v>
      </c>
      <c r="EL76" s="31">
        <v>0.85766203997762214</v>
      </c>
    </row>
    <row r="77" spans="38:142" x14ac:dyDescent="0.35">
      <c r="AL77" s="19" t="s">
        <v>126</v>
      </c>
      <c r="AM77" s="31">
        <v>0.91233766233766234</v>
      </c>
      <c r="AN77" s="31">
        <v>0.85653104925053536</v>
      </c>
      <c r="AO77" s="31">
        <v>0.89826839826839822</v>
      </c>
      <c r="AP77" s="31">
        <v>0.91341991341991347</v>
      </c>
      <c r="AQ77" s="31">
        <v>0.91017316017316019</v>
      </c>
      <c r="AR77" s="31">
        <v>0.8683083511777302</v>
      </c>
      <c r="AS77" s="31">
        <v>0.8865096359743041</v>
      </c>
      <c r="AT77" s="31">
        <v>0.89222116722881484</v>
      </c>
      <c r="AU77" s="31">
        <v>0.91666666666666663</v>
      </c>
      <c r="AV77" s="31">
        <v>0.89393939393939392</v>
      </c>
      <c r="AW77" s="31">
        <v>0.92207792207792205</v>
      </c>
      <c r="AX77" s="31">
        <v>0.91017316017316019</v>
      </c>
      <c r="AY77" s="31">
        <v>0.8971861471861472</v>
      </c>
      <c r="AZ77" s="31">
        <v>0.89826839826839822</v>
      </c>
      <c r="BA77" s="31">
        <v>0.90367965367965364</v>
      </c>
      <c r="BB77" s="31">
        <v>0.90599876314162031</v>
      </c>
      <c r="BC77" s="31">
        <v>0.93506493506493504</v>
      </c>
      <c r="BD77" s="31">
        <v>0.91558441558441561</v>
      </c>
      <c r="BE77" s="31">
        <v>0.92316017316017318</v>
      </c>
      <c r="BF77" s="31">
        <v>0.8928571428571429</v>
      </c>
      <c r="BG77" s="31">
        <v>0.92532467532467533</v>
      </c>
      <c r="BH77" s="31">
        <v>0.90909090909090906</v>
      </c>
      <c r="BI77" s="31">
        <v>0.91883116883116878</v>
      </c>
      <c r="BJ77" s="31">
        <v>0.9171304885590601</v>
      </c>
      <c r="BK77" s="31">
        <v>0.83116883116883122</v>
      </c>
      <c r="BL77" s="31">
        <v>0.88311688311688308</v>
      </c>
      <c r="BM77" s="31">
        <v>0.77922077922077926</v>
      </c>
      <c r="BN77" s="31">
        <v>0.81277056277056281</v>
      </c>
      <c r="BO77" s="31">
        <v>0.87012987012987009</v>
      </c>
      <c r="BP77" s="31">
        <v>0.88961038961038963</v>
      </c>
      <c r="BQ77" s="31">
        <v>0.8971861471861472</v>
      </c>
      <c r="BR77" s="31">
        <v>0.8518862090290662</v>
      </c>
      <c r="BS77" s="31">
        <v>0.86688311688311692</v>
      </c>
      <c r="BT77" s="31">
        <v>0.86580086580086579</v>
      </c>
      <c r="BU77" s="31">
        <v>0.8971861471861472</v>
      </c>
      <c r="BV77" s="31">
        <v>0.86580086580086579</v>
      </c>
      <c r="BW77" s="31">
        <v>0.92207792207792205</v>
      </c>
      <c r="BX77" s="31">
        <v>0.87662337662337664</v>
      </c>
      <c r="BY77" s="31">
        <v>0.90151515151515149</v>
      </c>
      <c r="BZ77" s="31">
        <v>0.88512677798392081</v>
      </c>
      <c r="CA77" s="31">
        <v>0.89610389610389607</v>
      </c>
      <c r="CB77" s="31">
        <v>0.85389610389610393</v>
      </c>
      <c r="CC77" s="31">
        <v>0.85497835497835495</v>
      </c>
      <c r="CD77" s="31">
        <v>0.87987012987012991</v>
      </c>
      <c r="CE77" s="31">
        <v>0.87987012987012991</v>
      </c>
      <c r="CF77" s="31">
        <v>0.87445887445887449</v>
      </c>
      <c r="CG77" s="31">
        <v>0.89935064935064934</v>
      </c>
      <c r="CH77" s="31">
        <v>0.87693259121830558</v>
      </c>
      <c r="CI77" s="31">
        <v>0.83313468414779501</v>
      </c>
      <c r="CJ77" s="31">
        <v>0.8614718614718615</v>
      </c>
      <c r="CK77" s="31">
        <v>0.92875318066157764</v>
      </c>
      <c r="CL77" s="31">
        <v>0.9185750636132316</v>
      </c>
      <c r="CM77" s="31">
        <v>0.83333333333333337</v>
      </c>
      <c r="CN77" s="31">
        <v>0.88419913419913421</v>
      </c>
      <c r="CO77" s="31">
        <v>0.88419913419913421</v>
      </c>
      <c r="CP77" s="31">
        <v>0.87766662737515244</v>
      </c>
      <c r="CQ77" s="31">
        <v>0.93274111675126903</v>
      </c>
      <c r="CR77" s="31">
        <v>0.94080604534005041</v>
      </c>
      <c r="CS77" s="31">
        <v>0.87436548223350252</v>
      </c>
      <c r="CT77" s="31">
        <v>0.8591370558375635</v>
      </c>
      <c r="CU77" s="31">
        <v>0.96192893401015234</v>
      </c>
      <c r="CV77" s="31">
        <v>0.89420654911838793</v>
      </c>
      <c r="CW77" s="31">
        <v>0.92893401015228427</v>
      </c>
      <c r="CX77" s="31">
        <v>0.91315988477760146</v>
      </c>
      <c r="CY77" s="31">
        <v>0.86675126903553301</v>
      </c>
      <c r="CZ77" s="31">
        <v>0.89593908629441621</v>
      </c>
      <c r="DA77" s="31">
        <v>0.86802030456852797</v>
      </c>
      <c r="DB77" s="31">
        <v>0.89467005076142136</v>
      </c>
      <c r="DC77" s="31">
        <v>0.87309644670050757</v>
      </c>
      <c r="DD77" s="31">
        <v>0.89467005076142136</v>
      </c>
      <c r="DE77" s="31">
        <v>0.85152284263959388</v>
      </c>
      <c r="DF77" s="31">
        <v>0.87781000725163161</v>
      </c>
      <c r="DG77" s="31">
        <v>0.87690355329949243</v>
      </c>
      <c r="DH77" s="31">
        <v>0.87055837563451777</v>
      </c>
      <c r="DI77" s="31">
        <v>0.8883248730964467</v>
      </c>
      <c r="DJ77" s="31">
        <v>0.83121827411167515</v>
      </c>
      <c r="DK77" s="31">
        <v>0.87436548223350252</v>
      </c>
      <c r="DL77" s="31">
        <v>0.87817258883248728</v>
      </c>
      <c r="DM77" s="31">
        <v>0.88451776649746194</v>
      </c>
      <c r="DN77" s="31">
        <v>0.87200870195794056</v>
      </c>
      <c r="DO77" s="31">
        <v>0.87563451776649748</v>
      </c>
      <c r="DP77" s="31">
        <v>0.86675126903553301</v>
      </c>
      <c r="DQ77" s="31">
        <v>0.84898477157360408</v>
      </c>
      <c r="DR77" s="31">
        <v>0.89340101522842641</v>
      </c>
      <c r="DS77" s="31">
        <v>0.86040609137055835</v>
      </c>
      <c r="DT77" s="31">
        <v>0.8642131979695431</v>
      </c>
      <c r="DU77" s="31">
        <v>0.8591370558375635</v>
      </c>
      <c r="DV77" s="31">
        <v>0.86693255982596085</v>
      </c>
      <c r="DW77" s="31">
        <v>0.88959390862944165</v>
      </c>
      <c r="DX77" s="31">
        <v>0.89847715736040612</v>
      </c>
      <c r="DY77" s="31">
        <v>0.87309644670050757</v>
      </c>
      <c r="DZ77" s="31">
        <v>0.8642131979695431</v>
      </c>
      <c r="EA77" s="31">
        <v>0.88451776649746194</v>
      </c>
      <c r="EB77" s="31">
        <v>0.90101522842639592</v>
      </c>
      <c r="EC77" s="31">
        <v>0.89974619289340096</v>
      </c>
      <c r="ED77" s="31">
        <v>0.88723712835387969</v>
      </c>
      <c r="EE77" s="31">
        <v>0.87563451776649748</v>
      </c>
      <c r="EF77" s="31">
        <v>0.86802030456852797</v>
      </c>
      <c r="EG77" s="31">
        <v>0.88071065989847719</v>
      </c>
      <c r="EH77" s="31">
        <v>0.86040609137055835</v>
      </c>
      <c r="EI77" s="31">
        <v>0.87563451776649748</v>
      </c>
      <c r="EJ77" s="31">
        <v>0.89847715736040612</v>
      </c>
      <c r="EK77" s="31">
        <v>0.86294416243654826</v>
      </c>
      <c r="EL77" s="31">
        <v>0.87454677302393047</v>
      </c>
    </row>
    <row r="78" spans="38:142" x14ac:dyDescent="0.35">
      <c r="AL78" s="19" t="s">
        <v>127</v>
      </c>
      <c r="AM78" s="31">
        <v>0.75243147656940756</v>
      </c>
      <c r="AN78" s="31">
        <v>0.84489402697495186</v>
      </c>
      <c r="AO78" s="31">
        <v>0.7556357078449053</v>
      </c>
      <c r="AP78" s="31">
        <v>0.82571428571428573</v>
      </c>
      <c r="AQ78" s="31">
        <v>0.75154730327144115</v>
      </c>
      <c r="AR78" s="31">
        <v>0.77708146821844226</v>
      </c>
      <c r="AS78" s="31">
        <v>0.75354609929078009</v>
      </c>
      <c r="AT78" s="31">
        <v>0.7801214811263163</v>
      </c>
      <c r="AU78" s="31">
        <v>0.85671039354187695</v>
      </c>
      <c r="AV78" s="31">
        <v>0.78641644325290438</v>
      </c>
      <c r="AW78" s="31">
        <v>0.83469387755102042</v>
      </c>
      <c r="AX78" s="31">
        <v>0.83349561830574492</v>
      </c>
      <c r="AY78" s="31">
        <v>0.84346959122632104</v>
      </c>
      <c r="AZ78" s="31">
        <v>0.7541998231653404</v>
      </c>
      <c r="BA78" s="31">
        <v>0.79907834101382491</v>
      </c>
      <c r="BB78" s="31">
        <v>0.81543772686529048</v>
      </c>
      <c r="BC78" s="31">
        <v>0.8124410933081998</v>
      </c>
      <c r="BD78" s="31">
        <v>0.84474445515911278</v>
      </c>
      <c r="BE78" s="31">
        <v>0.78314393939393945</v>
      </c>
      <c r="BF78" s="31">
        <v>0.83026188166828319</v>
      </c>
      <c r="BG78" s="31">
        <v>0.82703213610586013</v>
      </c>
      <c r="BH78" s="31">
        <v>0.8620361560418649</v>
      </c>
      <c r="BI78" s="31">
        <v>0.82535211267605635</v>
      </c>
      <c r="BJ78" s="31">
        <v>0.8264302534790452</v>
      </c>
      <c r="BK78" s="31">
        <v>0.71457905544147848</v>
      </c>
      <c r="BL78" s="31">
        <v>0.90408163265306118</v>
      </c>
      <c r="BM78" s="31">
        <v>0.74209989806320087</v>
      </c>
      <c r="BN78" s="31">
        <v>0.81023454157782515</v>
      </c>
      <c r="BO78" s="31">
        <v>0.83900928792569662</v>
      </c>
      <c r="BP78" s="31">
        <v>0.85556670010030089</v>
      </c>
      <c r="BQ78" s="31">
        <v>0.81972111553784865</v>
      </c>
      <c r="BR78" s="31">
        <v>0.81218460447134455</v>
      </c>
      <c r="BS78" s="31">
        <v>0.83265306122448979</v>
      </c>
      <c r="BT78" s="31">
        <v>0.86673773987206826</v>
      </c>
      <c r="BU78" s="31">
        <v>0.80703422053231944</v>
      </c>
      <c r="BV78" s="31">
        <v>0.81686046511627908</v>
      </c>
      <c r="BW78" s="31">
        <v>0.80871212121212122</v>
      </c>
      <c r="BX78" s="31">
        <v>0.81117533718689783</v>
      </c>
      <c r="BY78" s="31">
        <v>0.82827324478178366</v>
      </c>
      <c r="BZ78" s="31">
        <v>0.82449231284656566</v>
      </c>
      <c r="CA78" s="31">
        <v>0.7812206572769953</v>
      </c>
      <c r="CB78" s="31">
        <v>0.84652509652509655</v>
      </c>
      <c r="CC78" s="31">
        <v>0.82822085889570551</v>
      </c>
      <c r="CD78" s="31">
        <v>0.8847385272145144</v>
      </c>
      <c r="CE78" s="31">
        <v>0.78986866791744836</v>
      </c>
      <c r="CF78" s="31">
        <v>0.84440227703984816</v>
      </c>
      <c r="CG78" s="31">
        <v>0.82490636704119846</v>
      </c>
      <c r="CH78" s="31">
        <v>0.8285546359872582</v>
      </c>
      <c r="CI78" s="31">
        <v>0.77861873226111633</v>
      </c>
      <c r="CJ78" s="31">
        <v>0.90010298661174049</v>
      </c>
      <c r="CK78" s="31">
        <v>0.77629063097514339</v>
      </c>
      <c r="CL78" s="31">
        <v>0.80058651026392957</v>
      </c>
      <c r="CM78" s="31">
        <v>0.79428571428571426</v>
      </c>
      <c r="CN78" s="31">
        <v>0.8125</v>
      </c>
      <c r="CO78" s="31">
        <v>0.79100281162136832</v>
      </c>
      <c r="CP78" s="31">
        <v>0.80762676943128753</v>
      </c>
      <c r="CQ78" s="31">
        <v>0.76052385406922363</v>
      </c>
      <c r="CR78" s="31">
        <v>0.8168462291870715</v>
      </c>
      <c r="CS78" s="31">
        <v>0.74672897196261678</v>
      </c>
      <c r="CT78" s="31">
        <v>0.80934223069590083</v>
      </c>
      <c r="CU78" s="31">
        <v>0.78062678062678059</v>
      </c>
      <c r="CV78" s="31">
        <v>0.79174664107485604</v>
      </c>
      <c r="CW78" s="31">
        <v>0.81173131504257334</v>
      </c>
      <c r="CX78" s="31">
        <v>0.78822086037986039</v>
      </c>
      <c r="CY78" s="31">
        <v>0.7425373134328358</v>
      </c>
      <c r="CZ78" s="31">
        <v>0.83461538461538465</v>
      </c>
      <c r="DA78" s="31">
        <v>0.80163599182004086</v>
      </c>
      <c r="DB78" s="31">
        <v>0.832995951417004</v>
      </c>
      <c r="DC78" s="31">
        <v>0.75420560747663556</v>
      </c>
      <c r="DD78" s="31">
        <v>0.81126760563380285</v>
      </c>
      <c r="DE78" s="31">
        <v>0.78731343283582089</v>
      </c>
      <c r="DF78" s="31">
        <v>0.79493875531878921</v>
      </c>
      <c r="DG78" s="31">
        <v>0.7025371828521435</v>
      </c>
      <c r="DH78" s="31">
        <v>0.797196261682243</v>
      </c>
      <c r="DI78" s="31">
        <v>0.68778696051423327</v>
      </c>
      <c r="DJ78" s="31">
        <v>0.72326454033771104</v>
      </c>
      <c r="DK78" s="31">
        <v>0.75114364135407141</v>
      </c>
      <c r="DL78" s="31">
        <v>0.78301015697137577</v>
      </c>
      <c r="DM78" s="31">
        <v>0.78499542543458367</v>
      </c>
      <c r="DN78" s="31">
        <v>0.7471334527351946</v>
      </c>
      <c r="DO78" s="31">
        <v>0.70772058823529416</v>
      </c>
      <c r="DP78" s="31">
        <v>0.76288659793814428</v>
      </c>
      <c r="DQ78" s="31">
        <v>0.69541284403669723</v>
      </c>
      <c r="DR78" s="31">
        <v>0.6937441643323996</v>
      </c>
      <c r="DS78" s="31">
        <v>0.72910927456382002</v>
      </c>
      <c r="DT78" s="31">
        <v>0.74768946395563773</v>
      </c>
      <c r="DU78" s="31">
        <v>0.71717171717171713</v>
      </c>
      <c r="DV78" s="31">
        <v>0.72196209289053004</v>
      </c>
      <c r="DW78" s="31">
        <v>0.71992653810835627</v>
      </c>
      <c r="DX78" s="31">
        <v>0.72565543071161054</v>
      </c>
      <c r="DY78" s="31">
        <v>0.69972451790633605</v>
      </c>
      <c r="DZ78" s="31">
        <v>0.74603174603174605</v>
      </c>
      <c r="EA78" s="31">
        <v>0.69825206991720334</v>
      </c>
      <c r="EB78" s="31">
        <v>0.72802960222016655</v>
      </c>
      <c r="EC78" s="31">
        <v>0.70982552800734622</v>
      </c>
      <c r="ED78" s="31">
        <v>0.71820649041468065</v>
      </c>
      <c r="EE78" s="31">
        <v>0.72862453531598514</v>
      </c>
      <c r="EF78" s="31">
        <v>0.78203928905519182</v>
      </c>
      <c r="EG78" s="31">
        <v>0.71587743732590525</v>
      </c>
      <c r="EH78" s="31">
        <v>0.74053030303030298</v>
      </c>
      <c r="EI78" s="31">
        <v>0.76951672862453535</v>
      </c>
      <c r="EJ78" s="31">
        <v>0.77293790546802599</v>
      </c>
      <c r="EK78" s="31">
        <v>0.77116279069767446</v>
      </c>
      <c r="EL78" s="31">
        <v>0.75438414135966014</v>
      </c>
    </row>
    <row r="79" spans="38:142" x14ac:dyDescent="0.35">
      <c r="AL79" s="19" t="s">
        <v>433</v>
      </c>
      <c r="AM79" s="31">
        <v>0.91615541922290389</v>
      </c>
      <c r="AN79" s="31">
        <v>0.91326530612244894</v>
      </c>
      <c r="AO79" s="31">
        <v>0.8964102564102564</v>
      </c>
      <c r="AP79" s="31">
        <v>0.87897435897435894</v>
      </c>
      <c r="AQ79" s="31">
        <v>0.89202825428859733</v>
      </c>
      <c r="AR79" s="31">
        <v>0.91751527494908347</v>
      </c>
      <c r="AS79" s="31">
        <v>0.93258426966292129</v>
      </c>
      <c r="AT79" s="31">
        <v>0.90670473423293863</v>
      </c>
      <c r="AU79" s="31">
        <v>0.92371134020618562</v>
      </c>
      <c r="AV79" s="31">
        <v>0.90437436419125128</v>
      </c>
      <c r="AW79" s="31">
        <v>0.91950464396284826</v>
      </c>
      <c r="AX79" s="31">
        <v>0.91384615384615386</v>
      </c>
      <c r="AY79" s="31">
        <v>0.93117831074035451</v>
      </c>
      <c r="AZ79" s="31">
        <v>0.90733197556008149</v>
      </c>
      <c r="BA79" s="31">
        <v>0.9388379204892966</v>
      </c>
      <c r="BB79" s="31">
        <v>0.91982638699945318</v>
      </c>
      <c r="BC79" s="31">
        <v>0.91437308868501532</v>
      </c>
      <c r="BD79" s="31">
        <v>0.91469681397738956</v>
      </c>
      <c r="BE79" s="31">
        <v>0.88981288981288986</v>
      </c>
      <c r="BF79" s="31">
        <v>0.88247422680412368</v>
      </c>
      <c r="BG79" s="31">
        <v>0.92747701736465782</v>
      </c>
      <c r="BH79" s="31">
        <v>0.9388379204892966</v>
      </c>
      <c r="BI79" s="31">
        <v>0.93660531697341509</v>
      </c>
      <c r="BJ79" s="31">
        <v>0.91489675344382693</v>
      </c>
      <c r="BK79" s="31">
        <v>0.80041797283176597</v>
      </c>
      <c r="BL79" s="31">
        <v>0.8929313929313929</v>
      </c>
      <c r="BM79" s="31">
        <v>0.83386923901393351</v>
      </c>
      <c r="BN79" s="31">
        <v>0.86382978723404258</v>
      </c>
      <c r="BO79" s="31">
        <v>0.87956989247311823</v>
      </c>
      <c r="BP79" s="31">
        <v>0.87163561076604557</v>
      </c>
      <c r="BQ79" s="31">
        <v>0.85279187817258884</v>
      </c>
      <c r="BR79" s="31">
        <v>0.85643511048898391</v>
      </c>
      <c r="BS79" s="31">
        <v>0.90967056323060569</v>
      </c>
      <c r="BT79" s="31">
        <v>0.92758253461128859</v>
      </c>
      <c r="BU79" s="31">
        <v>0.91211146838156487</v>
      </c>
      <c r="BV79" s="31">
        <v>0.91054313099041528</v>
      </c>
      <c r="BW79" s="31">
        <v>0.93220338983050843</v>
      </c>
      <c r="BX79" s="31">
        <v>0.94663820704375667</v>
      </c>
      <c r="BY79" s="31">
        <v>0.95</v>
      </c>
      <c r="BZ79" s="31">
        <v>0.92696418486973431</v>
      </c>
      <c r="CA79" s="31">
        <v>0.94532071503680337</v>
      </c>
      <c r="CB79" s="31">
        <v>0.96474358974358976</v>
      </c>
      <c r="CC79" s="31">
        <v>0.90322580645161288</v>
      </c>
      <c r="CD79" s="31">
        <v>0.91970802919708028</v>
      </c>
      <c r="CE79" s="31">
        <v>0.92584963954685895</v>
      </c>
      <c r="CF79" s="31">
        <v>0.96101159114857748</v>
      </c>
      <c r="CG79" s="31">
        <v>0.95263157894736838</v>
      </c>
      <c r="CH79" s="31">
        <v>0.93892727858169878</v>
      </c>
      <c r="CI79" s="31">
        <v>0.92419522326064385</v>
      </c>
      <c r="CJ79" s="31">
        <v>0.93541666666666667</v>
      </c>
      <c r="CK79" s="31">
        <v>0.88819226750261238</v>
      </c>
      <c r="CL79" s="31">
        <v>0.90073917634635692</v>
      </c>
      <c r="CM79" s="31">
        <v>0.93514644351464438</v>
      </c>
      <c r="CN79" s="31">
        <v>0.93801652892561982</v>
      </c>
      <c r="CO79" s="31">
        <v>0.95099061522419182</v>
      </c>
      <c r="CP79" s="31">
        <v>0.92467098877724785</v>
      </c>
      <c r="CQ79" s="31">
        <v>0.94398340248962653</v>
      </c>
      <c r="CR79" s="31">
        <v>0.92834562697576395</v>
      </c>
      <c r="CS79" s="31">
        <v>0.92070030895983523</v>
      </c>
      <c r="CT79" s="31">
        <v>0.95051546391752573</v>
      </c>
      <c r="CU79" s="31">
        <v>0.9456635318704284</v>
      </c>
      <c r="CV79" s="31">
        <v>0.9347368421052632</v>
      </c>
      <c r="CW79" s="31">
        <v>0.93632567849686843</v>
      </c>
      <c r="CX79" s="31">
        <v>0.93718155068790154</v>
      </c>
      <c r="CY79" s="31">
        <v>0.91762252346193951</v>
      </c>
      <c r="CZ79" s="31">
        <v>0.97077244258872653</v>
      </c>
      <c r="DA79" s="31">
        <v>0.89906347554630595</v>
      </c>
      <c r="DB79" s="31">
        <v>0.90295358649789026</v>
      </c>
      <c r="DC79" s="31">
        <v>0.9375</v>
      </c>
      <c r="DD79" s="31">
        <v>0.98336798336798337</v>
      </c>
      <c r="DE79" s="31">
        <v>0.94208893485005174</v>
      </c>
      <c r="DF79" s="31">
        <v>0.93619556375898549</v>
      </c>
      <c r="DG79" s="31">
        <v>0.92226890756302526</v>
      </c>
      <c r="DH79" s="31">
        <v>0.9178082191780822</v>
      </c>
      <c r="DI79" s="31">
        <v>0.89607635206786851</v>
      </c>
      <c r="DJ79" s="31">
        <v>0.86855941114616197</v>
      </c>
      <c r="DK79" s="31">
        <v>0.94380853277835586</v>
      </c>
      <c r="DL79" s="31">
        <v>0.93067226890756305</v>
      </c>
      <c r="DM79" s="31">
        <v>0.93945720250521925</v>
      </c>
      <c r="DN79" s="31">
        <v>0.91695012773518247</v>
      </c>
      <c r="DO79" s="31">
        <v>0.89100529100529102</v>
      </c>
      <c r="DP79" s="31">
        <v>0.90298507462686572</v>
      </c>
      <c r="DQ79" s="31">
        <v>0.85729275970619101</v>
      </c>
      <c r="DR79" s="31">
        <v>0.84470094438614896</v>
      </c>
      <c r="DS79" s="31">
        <v>0.92021276595744683</v>
      </c>
      <c r="DT79" s="31">
        <v>0.93191489361702129</v>
      </c>
      <c r="DU79" s="31">
        <v>0.90031813361611879</v>
      </c>
      <c r="DV79" s="31">
        <v>0.89263283755929757</v>
      </c>
      <c r="DW79" s="31">
        <v>0.89989572471324297</v>
      </c>
      <c r="DX79" s="31">
        <v>0.87605042016806722</v>
      </c>
      <c r="DY79" s="31">
        <v>0.879746835443038</v>
      </c>
      <c r="DZ79" s="31">
        <v>0.86210526315789471</v>
      </c>
      <c r="EA79" s="31">
        <v>0.92116182572614103</v>
      </c>
      <c r="EB79" s="31">
        <v>0.90251572327044027</v>
      </c>
      <c r="EC79" s="31">
        <v>0.91213389121338917</v>
      </c>
      <c r="ED79" s="31">
        <v>0.89337281195603047</v>
      </c>
      <c r="EE79" s="31">
        <v>0.90975103734439833</v>
      </c>
      <c r="EF79" s="31">
        <v>0.91446673706441395</v>
      </c>
      <c r="EG79" s="31">
        <v>0.90975103734439833</v>
      </c>
      <c r="EH79" s="31">
        <v>0.86540483701366977</v>
      </c>
      <c r="EI79" s="31">
        <v>0.9447916666666667</v>
      </c>
      <c r="EJ79" s="31">
        <v>0.94526315789473681</v>
      </c>
      <c r="EK79" s="31">
        <v>0.95886075949367089</v>
      </c>
      <c r="EL79" s="31">
        <v>0.9211841761174222</v>
      </c>
    </row>
    <row r="80" spans="38:142" x14ac:dyDescent="0.35">
      <c r="AL80" s="19" t="s">
        <v>128</v>
      </c>
      <c r="AM80" s="31">
        <v>0.86245353159851301</v>
      </c>
      <c r="AN80" s="31">
        <v>0.85871559633027528</v>
      </c>
      <c r="AO80" s="31">
        <v>0.86740331491712708</v>
      </c>
      <c r="AP80" s="31">
        <v>0.90562613430127037</v>
      </c>
      <c r="AQ80" s="31">
        <v>0.83773584905660381</v>
      </c>
      <c r="AR80" s="31">
        <v>0.89239332096474955</v>
      </c>
      <c r="AS80" s="31">
        <v>0.91025641025641024</v>
      </c>
      <c r="AT80" s="31">
        <v>0.8763691653464214</v>
      </c>
      <c r="AU80" s="31">
        <v>0.86923076923076925</v>
      </c>
      <c r="AV80" s="31">
        <v>0.88929219600725951</v>
      </c>
      <c r="AW80" s="31">
        <v>0.86538461538461542</v>
      </c>
      <c r="AX80" s="31">
        <v>0.875</v>
      </c>
      <c r="AY80" s="31">
        <v>0.86405959031657353</v>
      </c>
      <c r="AZ80" s="31">
        <v>0.90744101633393826</v>
      </c>
      <c r="BA80" s="31">
        <v>0.8765652951699463</v>
      </c>
      <c r="BB80" s="31">
        <v>0.87813906892044302</v>
      </c>
      <c r="BC80" s="31">
        <v>0.84615384615384615</v>
      </c>
      <c r="BD80" s="31">
        <v>0.84615384615384615</v>
      </c>
      <c r="BE80" s="31">
        <v>0.79807692307692313</v>
      </c>
      <c r="BF80" s="31">
        <v>0.8</v>
      </c>
      <c r="BG80" s="31">
        <v>0.85474860335195535</v>
      </c>
      <c r="BH80" s="31">
        <v>0.85086042065009559</v>
      </c>
      <c r="BI80" s="31">
        <v>0.86512524084778419</v>
      </c>
      <c r="BJ80" s="31">
        <v>0.83730269717635009</v>
      </c>
      <c r="BK80" s="31">
        <v>0.70019723865877714</v>
      </c>
      <c r="BL80" s="31">
        <v>0.82874015748031493</v>
      </c>
      <c r="BM80" s="31">
        <v>0.76877470355731226</v>
      </c>
      <c r="BN80" s="31">
        <v>0.78326996197718635</v>
      </c>
      <c r="BO80" s="31">
        <v>0.80625000000000002</v>
      </c>
      <c r="BP80" s="31">
        <v>0.8110236220472441</v>
      </c>
      <c r="BQ80" s="31">
        <v>0.80121703853955373</v>
      </c>
      <c r="BR80" s="31">
        <v>0.78563896032291269</v>
      </c>
      <c r="BS80" s="31">
        <v>0.79189686924493552</v>
      </c>
      <c r="BT80" s="31">
        <v>0.85928705440900566</v>
      </c>
      <c r="BU80" s="31">
        <v>0.80790960451977401</v>
      </c>
      <c r="BV80" s="31">
        <v>0.78202676864244747</v>
      </c>
      <c r="BW80" s="31">
        <v>0.83970856102003644</v>
      </c>
      <c r="BX80" s="31">
        <v>0.87743190661478598</v>
      </c>
      <c r="BY80" s="31">
        <v>0.88724584103512016</v>
      </c>
      <c r="BZ80" s="31">
        <v>0.83507237221230091</v>
      </c>
      <c r="CA80" s="31">
        <v>0.87800687285223367</v>
      </c>
      <c r="CB80" s="31">
        <v>0.84545454545454546</v>
      </c>
      <c r="CC80" s="31">
        <v>0.78597122302158273</v>
      </c>
      <c r="CD80" s="31">
        <v>0.81138790035587194</v>
      </c>
      <c r="CE80" s="31">
        <v>0.87777777777777777</v>
      </c>
      <c r="CF80" s="31">
        <v>0.87126865671641796</v>
      </c>
      <c r="CG80" s="31">
        <v>0.88267148014440433</v>
      </c>
      <c r="CH80" s="31">
        <v>0.85036263661754774</v>
      </c>
      <c r="CI80" s="31">
        <v>0.85178875638841567</v>
      </c>
      <c r="CJ80" s="31">
        <v>0.86842105263157898</v>
      </c>
      <c r="CK80" s="31">
        <v>0.84786324786324785</v>
      </c>
      <c r="CL80" s="31">
        <v>0.86407766990291257</v>
      </c>
      <c r="CM80" s="31">
        <v>0.87666666666666671</v>
      </c>
      <c r="CN80" s="31">
        <v>0.89271255060728749</v>
      </c>
      <c r="CO80" s="31">
        <v>0.86767169179229475</v>
      </c>
      <c r="CP80" s="31">
        <v>0.86702880512177205</v>
      </c>
      <c r="CQ80" s="31">
        <v>0.88580750407830344</v>
      </c>
      <c r="CR80" s="31">
        <v>0.88127090301003341</v>
      </c>
      <c r="CS80" s="31">
        <v>0.88720538720538722</v>
      </c>
      <c r="CT80" s="31">
        <v>0.89649415692821366</v>
      </c>
      <c r="CU80" s="31">
        <v>0.89902280130293155</v>
      </c>
      <c r="CV80" s="31">
        <v>0.90547263681592038</v>
      </c>
      <c r="CW80" s="31">
        <v>0.93046357615894038</v>
      </c>
      <c r="CX80" s="31">
        <v>0.89796242364281853</v>
      </c>
      <c r="CY80" s="31">
        <v>0.8643790849673203</v>
      </c>
      <c r="CZ80" s="31">
        <v>0.92703150912106136</v>
      </c>
      <c r="DA80" s="31">
        <v>0.88524590163934425</v>
      </c>
      <c r="DB80" s="31">
        <v>0.88943894389438949</v>
      </c>
      <c r="DC80" s="31">
        <v>0.82072368421052633</v>
      </c>
      <c r="DD80" s="31">
        <v>0.92358803986710969</v>
      </c>
      <c r="DE80" s="31">
        <v>0.89144736842105265</v>
      </c>
      <c r="DF80" s="31">
        <v>0.88597921887440079</v>
      </c>
      <c r="DG80" s="31">
        <v>0.83876221498371339</v>
      </c>
      <c r="DH80" s="31">
        <v>0.87086092715231789</v>
      </c>
      <c r="DI80" s="31">
        <v>0.79159935379644586</v>
      </c>
      <c r="DJ80" s="31">
        <v>0.80645161290322576</v>
      </c>
      <c r="DK80" s="31">
        <v>0.8193979933110368</v>
      </c>
      <c r="DL80" s="31">
        <v>0.85123966942148765</v>
      </c>
      <c r="DM80" s="31">
        <v>0.88352745424292845</v>
      </c>
      <c r="DN80" s="31">
        <v>0.83740560368730799</v>
      </c>
      <c r="DO80" s="31">
        <v>0.79126213592233008</v>
      </c>
      <c r="DP80" s="31">
        <v>0.81421647819063003</v>
      </c>
      <c r="DQ80" s="31">
        <v>0.7431781701444623</v>
      </c>
      <c r="DR80" s="31">
        <v>0.75201288244766507</v>
      </c>
      <c r="DS80" s="31">
        <v>0.79934210526315785</v>
      </c>
      <c r="DT80" s="31">
        <v>0.80130293159609123</v>
      </c>
      <c r="DU80" s="31">
        <v>0.82229402261712436</v>
      </c>
      <c r="DV80" s="31">
        <v>0.78908696088306596</v>
      </c>
      <c r="DW80" s="31">
        <v>0.7857142857142857</v>
      </c>
      <c r="DX80" s="31">
        <v>0.79099678456591638</v>
      </c>
      <c r="DY80" s="31">
        <v>0.78468899521531099</v>
      </c>
      <c r="DZ80" s="31">
        <v>0.75709779179810721</v>
      </c>
      <c r="EA80" s="31">
        <v>0.74481658692185004</v>
      </c>
      <c r="EB80" s="31">
        <v>0.77165354330708658</v>
      </c>
      <c r="EC80" s="31">
        <v>0.7665615141955836</v>
      </c>
      <c r="ED80" s="31">
        <v>0.77164707167402014</v>
      </c>
      <c r="EE80" s="31">
        <v>0.81891025641025639</v>
      </c>
      <c r="EF80" s="31">
        <v>0.78233438485804419</v>
      </c>
      <c r="EG80" s="31">
        <v>0.79967948717948723</v>
      </c>
      <c r="EH80" s="31">
        <v>0.80448717948717952</v>
      </c>
      <c r="EI80" s="31">
        <v>0.80159999999999998</v>
      </c>
      <c r="EJ80" s="31">
        <v>0.82075471698113212</v>
      </c>
      <c r="EK80" s="31">
        <v>0.8073248407643312</v>
      </c>
      <c r="EL80" s="31">
        <v>0.80501298081149009</v>
      </c>
    </row>
    <row r="81" spans="38:142" x14ac:dyDescent="0.35">
      <c r="AL81" s="19" t="s">
        <v>129</v>
      </c>
      <c r="AM81" s="31">
        <v>0.91776315789473684</v>
      </c>
      <c r="AN81" s="31">
        <v>0.845771144278607</v>
      </c>
      <c r="AO81" s="31">
        <v>0.8571428571428571</v>
      </c>
      <c r="AP81" s="31">
        <v>0.85430463576158944</v>
      </c>
      <c r="AQ81" s="31">
        <v>0.90774299835255357</v>
      </c>
      <c r="AR81" s="31">
        <v>0.89700996677740863</v>
      </c>
      <c r="AS81" s="31">
        <v>0.91873963515754564</v>
      </c>
      <c r="AT81" s="31">
        <v>0.88549634219504259</v>
      </c>
      <c r="AU81" s="31">
        <v>0.90147783251231528</v>
      </c>
      <c r="AV81" s="31">
        <v>0.85572139303482586</v>
      </c>
      <c r="AW81" s="31">
        <v>0.90789473684210531</v>
      </c>
      <c r="AX81" s="31">
        <v>0.88205980066445178</v>
      </c>
      <c r="AY81" s="31">
        <v>0.90939597315436238</v>
      </c>
      <c r="AZ81" s="31">
        <v>0.90547263681592038</v>
      </c>
      <c r="BA81" s="31">
        <v>0.89421487603305783</v>
      </c>
      <c r="BB81" s="31">
        <v>0.89374817843671994</v>
      </c>
      <c r="BC81" s="31">
        <v>0.86326194398682043</v>
      </c>
      <c r="BD81" s="31">
        <v>0.85642737896494159</v>
      </c>
      <c r="BE81" s="31">
        <v>0.86326194398682043</v>
      </c>
      <c r="BF81" s="31">
        <v>0.83717105263157898</v>
      </c>
      <c r="BG81" s="31">
        <v>0.86468646864686471</v>
      </c>
      <c r="BH81" s="31">
        <v>0.87788778877887785</v>
      </c>
      <c r="BI81" s="31">
        <v>0.88177339901477836</v>
      </c>
      <c r="BJ81" s="31">
        <v>0.86349571085866905</v>
      </c>
      <c r="BK81" s="31">
        <v>0.78973509933774833</v>
      </c>
      <c r="BL81" s="31">
        <v>0.80201342281879195</v>
      </c>
      <c r="BM81" s="31">
        <v>0.67774086378737541</v>
      </c>
      <c r="BN81" s="31">
        <v>0.69798657718120805</v>
      </c>
      <c r="BO81" s="31">
        <v>0.81953642384105962</v>
      </c>
      <c r="BP81" s="31">
        <v>0.83865546218487397</v>
      </c>
      <c r="BQ81" s="31">
        <v>0.85032894736842102</v>
      </c>
      <c r="BR81" s="31">
        <v>0.78228525664563975</v>
      </c>
      <c r="BS81" s="31">
        <v>0.84462809917355375</v>
      </c>
      <c r="BT81" s="31">
        <v>0.74581939799331098</v>
      </c>
      <c r="BU81" s="31">
        <v>0.79069767441860461</v>
      </c>
      <c r="BV81" s="31">
        <v>0.81395348837209303</v>
      </c>
      <c r="BW81" s="31">
        <v>0.87458745874587462</v>
      </c>
      <c r="BX81" s="31">
        <v>0.78833333333333333</v>
      </c>
      <c r="BY81" s="31">
        <v>0.83110367892976589</v>
      </c>
      <c r="BZ81" s="31">
        <v>0.81273187585236251</v>
      </c>
      <c r="CA81" s="31">
        <v>0.86622073578595316</v>
      </c>
      <c r="CB81" s="31">
        <v>0.80833333333333335</v>
      </c>
      <c r="CC81" s="31">
        <v>0.84422110552763818</v>
      </c>
      <c r="CD81" s="31">
        <v>0.81958762886597936</v>
      </c>
      <c r="CE81" s="31">
        <v>0.90016638935108151</v>
      </c>
      <c r="CF81" s="31">
        <v>0.86212624584717612</v>
      </c>
      <c r="CG81" s="31">
        <v>0.87933884297520659</v>
      </c>
      <c r="CH81" s="31">
        <v>0.85428489738376701</v>
      </c>
      <c r="CI81" s="31">
        <v>0.89048473967684016</v>
      </c>
      <c r="CJ81" s="31">
        <v>0.82432432432432434</v>
      </c>
      <c r="CK81" s="31">
        <v>0.91546762589928055</v>
      </c>
      <c r="CL81" s="31">
        <v>0.81016949152542372</v>
      </c>
      <c r="CM81" s="31">
        <v>0.84736842105263155</v>
      </c>
      <c r="CN81" s="31">
        <v>0.85961871750433272</v>
      </c>
      <c r="CO81" s="31">
        <v>0.88173913043478258</v>
      </c>
      <c r="CP81" s="31">
        <v>0.86131035005965939</v>
      </c>
      <c r="CQ81" s="31">
        <v>0.82833333333333337</v>
      </c>
      <c r="CR81" s="31">
        <v>0.81578947368421051</v>
      </c>
      <c r="CS81" s="31">
        <v>0.82453151618398635</v>
      </c>
      <c r="CT81" s="31">
        <v>0.82081911262798635</v>
      </c>
      <c r="CU81" s="31">
        <v>0.87775891341256362</v>
      </c>
      <c r="CV81" s="31">
        <v>0.86440677966101698</v>
      </c>
      <c r="CW81" s="31">
        <v>0.89608177172061332</v>
      </c>
      <c r="CX81" s="31">
        <v>0.84681727151767294</v>
      </c>
      <c r="CY81" s="31">
        <v>0.87894736842105259</v>
      </c>
      <c r="CZ81" s="31">
        <v>0.8529411764705882</v>
      </c>
      <c r="DA81" s="31">
        <v>0.86725663716814161</v>
      </c>
      <c r="DB81" s="31">
        <v>0.81722319859402459</v>
      </c>
      <c r="DC81" s="31">
        <v>0.88091068301225917</v>
      </c>
      <c r="DD81" s="31">
        <v>0.88388214904679374</v>
      </c>
      <c r="DE81" s="31">
        <v>0.89842381786339753</v>
      </c>
      <c r="DF81" s="31">
        <v>0.86851214722517966</v>
      </c>
      <c r="DG81" s="31">
        <v>0.81694915254237288</v>
      </c>
      <c r="DH81" s="31">
        <v>0.81010452961672474</v>
      </c>
      <c r="DI81" s="31">
        <v>0.82728842832469773</v>
      </c>
      <c r="DJ81" s="31">
        <v>0.83304647160068845</v>
      </c>
      <c r="DK81" s="31">
        <v>0.8499156829679595</v>
      </c>
      <c r="DL81" s="31">
        <v>0.82728842832469773</v>
      </c>
      <c r="DM81" s="31">
        <v>0.87654320987654322</v>
      </c>
      <c r="DN81" s="31">
        <v>0.83444798617909766</v>
      </c>
      <c r="DO81" s="31">
        <v>0.81972789115646261</v>
      </c>
      <c r="DP81" s="31">
        <v>0.83708838821490472</v>
      </c>
      <c r="DQ81" s="31">
        <v>0.858843537414966</v>
      </c>
      <c r="DR81" s="31">
        <v>0.83843537414965985</v>
      </c>
      <c r="DS81" s="31">
        <v>0.83760683760683763</v>
      </c>
      <c r="DT81" s="31">
        <v>0.84523809523809523</v>
      </c>
      <c r="DU81" s="31">
        <v>0.85299145299145296</v>
      </c>
      <c r="DV81" s="31">
        <v>0.84141879668176855</v>
      </c>
      <c r="DW81" s="31">
        <v>0.84488448844884489</v>
      </c>
      <c r="DX81" s="31">
        <v>0.85409252669039148</v>
      </c>
      <c r="DY81" s="31">
        <v>0.84666666666666668</v>
      </c>
      <c r="DZ81" s="31">
        <v>0.82303839732888151</v>
      </c>
      <c r="EA81" s="31">
        <v>0.88265306122448983</v>
      </c>
      <c r="EB81" s="31">
        <v>0.85690235690235694</v>
      </c>
      <c r="EC81" s="31">
        <v>0.87080536912751683</v>
      </c>
      <c r="ED81" s="31">
        <v>0.85414898091273539</v>
      </c>
      <c r="EE81" s="31">
        <v>0.90131578947368418</v>
      </c>
      <c r="EF81" s="31">
        <v>0.7953410981697171</v>
      </c>
      <c r="EG81" s="31">
        <v>0.86189683860232946</v>
      </c>
      <c r="EH81" s="31">
        <v>0.83471074380165289</v>
      </c>
      <c r="EI81" s="31">
        <v>0.89525368248772508</v>
      </c>
      <c r="EJ81" s="31">
        <v>0.83166666666666667</v>
      </c>
      <c r="EK81" s="31">
        <v>0.85245901639344257</v>
      </c>
      <c r="EL81" s="31">
        <v>0.8532348336564598</v>
      </c>
    </row>
    <row r="82" spans="38:142" x14ac:dyDescent="0.35">
      <c r="AL82" s="19" t="s">
        <v>130</v>
      </c>
      <c r="AM82" s="31">
        <v>0.82533333333333336</v>
      </c>
      <c r="AN82" s="31">
        <v>0.81951871657754005</v>
      </c>
      <c r="AO82" s="31">
        <v>0.80296896086369773</v>
      </c>
      <c r="AP82" s="31">
        <v>0.81351351351351353</v>
      </c>
      <c r="AQ82" s="31">
        <v>0.86998616874135548</v>
      </c>
      <c r="AR82" s="31">
        <v>0.82791327913279134</v>
      </c>
      <c r="AS82" s="31">
        <v>0.85832187070151311</v>
      </c>
      <c r="AT82" s="31">
        <v>0.83107940612339193</v>
      </c>
      <c r="AU82" s="31">
        <v>0.86422976501305482</v>
      </c>
      <c r="AV82" s="31">
        <v>0.8482384823848238</v>
      </c>
      <c r="AW82" s="31">
        <v>0.86588541666666663</v>
      </c>
      <c r="AX82" s="31">
        <v>0.85362694300518138</v>
      </c>
      <c r="AY82" s="31">
        <v>0.86719787516600266</v>
      </c>
      <c r="AZ82" s="31">
        <v>0.87193460490463215</v>
      </c>
      <c r="BA82" s="31">
        <v>0.88571428571428568</v>
      </c>
      <c r="BB82" s="31">
        <v>0.86526105326494973</v>
      </c>
      <c r="BC82" s="31">
        <v>0.86631016042780751</v>
      </c>
      <c r="BD82" s="31">
        <v>0.88669301712779969</v>
      </c>
      <c r="BE82" s="31">
        <v>0.78981723237597912</v>
      </c>
      <c r="BF82" s="31">
        <v>0.77284595300261094</v>
      </c>
      <c r="BG82" s="31">
        <v>0.88021534320323014</v>
      </c>
      <c r="BH82" s="31">
        <v>0.88770053475935828</v>
      </c>
      <c r="BI82" s="31">
        <v>0.87316421895861152</v>
      </c>
      <c r="BJ82" s="31">
        <v>0.85096377997934247</v>
      </c>
      <c r="BK82" s="31">
        <v>0.7239101717305152</v>
      </c>
      <c r="BL82" s="31">
        <v>0.80263157894736847</v>
      </c>
      <c r="BM82" s="31">
        <v>0.74900924702774108</v>
      </c>
      <c r="BN82" s="31">
        <v>0.78306878306878303</v>
      </c>
      <c r="BO82" s="31">
        <v>0.84173669467787116</v>
      </c>
      <c r="BP82" s="31">
        <v>0.80862533692722371</v>
      </c>
      <c r="BQ82" s="31">
        <v>0.82702702702702702</v>
      </c>
      <c r="BR82" s="31">
        <v>0.79085840562950427</v>
      </c>
      <c r="BS82" s="31">
        <v>0.82932996207332488</v>
      </c>
      <c r="BT82" s="31">
        <v>0.77382465057179162</v>
      </c>
      <c r="BU82" s="31">
        <v>0.81691919191919193</v>
      </c>
      <c r="BV82" s="31">
        <v>0.84654731457800514</v>
      </c>
      <c r="BW82" s="31">
        <v>0.88341968911917101</v>
      </c>
      <c r="BX82" s="31">
        <v>0.81481481481481477</v>
      </c>
      <c r="BY82" s="31">
        <v>0.83879093198992438</v>
      </c>
      <c r="BZ82" s="31">
        <v>0.82909236500946037</v>
      </c>
      <c r="CA82" s="31">
        <v>0.85</v>
      </c>
      <c r="CB82" s="31">
        <v>0.85842985842985842</v>
      </c>
      <c r="CC82" s="31">
        <v>0.84782608695652173</v>
      </c>
      <c r="CD82" s="31">
        <v>0.84565499351491569</v>
      </c>
      <c r="CE82" s="31">
        <v>0.88157894736842102</v>
      </c>
      <c r="CF82" s="31">
        <v>0.88258064516129031</v>
      </c>
      <c r="CG82" s="31">
        <v>0.84615384615384615</v>
      </c>
      <c r="CH82" s="31">
        <v>0.85888919679783615</v>
      </c>
      <c r="CI82" s="31">
        <v>0.84526854219948844</v>
      </c>
      <c r="CJ82" s="31">
        <v>0.86493506493506489</v>
      </c>
      <c r="CK82" s="31">
        <v>0.83397683397683398</v>
      </c>
      <c r="CL82" s="31">
        <v>0.84883720930232553</v>
      </c>
      <c r="CM82" s="31">
        <v>0.85732647814910024</v>
      </c>
      <c r="CN82" s="31">
        <v>0.88713910761154857</v>
      </c>
      <c r="CO82" s="31">
        <v>0.85038363171355502</v>
      </c>
      <c r="CP82" s="31">
        <v>0.85540955255541662</v>
      </c>
      <c r="CQ82" s="31">
        <v>0.77682926829268295</v>
      </c>
      <c r="CR82" s="31">
        <v>0.80246913580246915</v>
      </c>
      <c r="CS82" s="31">
        <v>0.77098321342925658</v>
      </c>
      <c r="CT82" s="31">
        <v>0.78896882494004794</v>
      </c>
      <c r="CU82" s="31">
        <v>0.80281690140845074</v>
      </c>
      <c r="CV82" s="31">
        <v>0.83974358974358976</v>
      </c>
      <c r="CW82" s="31">
        <v>0.82608695652173914</v>
      </c>
      <c r="CX82" s="31">
        <v>0.80112827001974807</v>
      </c>
      <c r="CY82" s="31">
        <v>0.82710280373831779</v>
      </c>
      <c r="CZ82" s="31">
        <v>0.79569892473118276</v>
      </c>
      <c r="DA82" s="31">
        <v>0.81690140845070425</v>
      </c>
      <c r="DB82" s="31">
        <v>0.80637544273907913</v>
      </c>
      <c r="DC82" s="31">
        <v>0.83563218390804594</v>
      </c>
      <c r="DD82" s="31">
        <v>0.82676224611708482</v>
      </c>
      <c r="DE82" s="31">
        <v>0.8413793103448276</v>
      </c>
      <c r="DF82" s="31">
        <v>0.82140747428989169</v>
      </c>
      <c r="DG82" s="31">
        <v>0.83770883054892598</v>
      </c>
      <c r="DH82" s="31">
        <v>0.80565371024734977</v>
      </c>
      <c r="DI82" s="31">
        <v>0.84210526315789469</v>
      </c>
      <c r="DJ82" s="31">
        <v>0.84670658682634725</v>
      </c>
      <c r="DK82" s="31">
        <v>0.83596597812879714</v>
      </c>
      <c r="DL82" s="31">
        <v>0.83136792452830188</v>
      </c>
      <c r="DM82" s="31">
        <v>0.82214369846878677</v>
      </c>
      <c r="DN82" s="31">
        <v>0.83166457027234331</v>
      </c>
      <c r="DO82" s="31">
        <v>0.76840855106888362</v>
      </c>
      <c r="DP82" s="31">
        <v>0.85731414868105515</v>
      </c>
      <c r="DQ82" s="31">
        <v>0.73515439429928742</v>
      </c>
      <c r="DR82" s="31">
        <v>0.75178147268408546</v>
      </c>
      <c r="DS82" s="31">
        <v>0.78647686832740216</v>
      </c>
      <c r="DT82" s="31">
        <v>0.84407971864009379</v>
      </c>
      <c r="DU82" s="31">
        <v>0.81613285883748521</v>
      </c>
      <c r="DV82" s="31">
        <v>0.79419257321975611</v>
      </c>
      <c r="DW82" s="31">
        <v>0.77898550724637683</v>
      </c>
      <c r="DX82" s="31">
        <v>0.76674641148325362</v>
      </c>
      <c r="DY82" s="31">
        <v>0.81097560975609762</v>
      </c>
      <c r="DZ82" s="31">
        <v>0.78197320341047505</v>
      </c>
      <c r="EA82" s="31">
        <v>0.77035236938031593</v>
      </c>
      <c r="EB82" s="31">
        <v>0.79004854368932043</v>
      </c>
      <c r="EC82" s="31">
        <v>0.79347826086956519</v>
      </c>
      <c r="ED82" s="31">
        <v>0.78465141511934366</v>
      </c>
      <c r="EE82" s="31">
        <v>0.80970625798212004</v>
      </c>
      <c r="EF82" s="31">
        <v>0.78991596638655459</v>
      </c>
      <c r="EG82" s="31">
        <v>0.80306905370843995</v>
      </c>
      <c r="EH82" s="31">
        <v>0.79257362355953909</v>
      </c>
      <c r="EI82" s="31">
        <v>0.81969309462915596</v>
      </c>
      <c r="EJ82" s="31">
        <v>0.81708784596871242</v>
      </c>
      <c r="EK82" s="31">
        <v>0.81188118811881194</v>
      </c>
      <c r="EL82" s="31">
        <v>0.80627529005047638</v>
      </c>
    </row>
    <row r="83" spans="38:142" x14ac:dyDescent="0.35">
      <c r="AL83" s="19" t="s">
        <v>131</v>
      </c>
      <c r="AM83" s="31">
        <v>0.94499999999999995</v>
      </c>
      <c r="AN83" s="31">
        <v>0.96610169491525422</v>
      </c>
      <c r="AO83" s="31">
        <v>0.91461836998706336</v>
      </c>
      <c r="AP83" s="31">
        <v>0.94825355756791718</v>
      </c>
      <c r="AQ83" s="31">
        <v>0.97283950617283954</v>
      </c>
      <c r="AR83" s="31">
        <v>0.95388349514563109</v>
      </c>
      <c r="AS83" s="31">
        <v>0.97153465346534651</v>
      </c>
      <c r="AT83" s="31">
        <v>0.95317589675057879</v>
      </c>
      <c r="AU83" s="31">
        <v>0.95465686274509809</v>
      </c>
      <c r="AV83" s="31">
        <v>0.94437257438551103</v>
      </c>
      <c r="AW83" s="31">
        <v>0.93995098039215685</v>
      </c>
      <c r="AX83" s="31">
        <v>0.95710784313725494</v>
      </c>
      <c r="AY83" s="31">
        <v>0.94925742574257421</v>
      </c>
      <c r="AZ83" s="31">
        <v>0.97400990099009899</v>
      </c>
      <c r="BA83" s="31">
        <v>0.96014492753623193</v>
      </c>
      <c r="BB83" s="31">
        <v>0.95421435927556086</v>
      </c>
      <c r="BC83" s="31">
        <v>0.94399999999999995</v>
      </c>
      <c r="BD83" s="31">
        <v>0.95833333333333337</v>
      </c>
      <c r="BE83" s="31">
        <v>0.9417249417249417</v>
      </c>
      <c r="BF83" s="31">
        <v>0.95833333333333337</v>
      </c>
      <c r="BG83" s="31">
        <v>0.94857142857142862</v>
      </c>
      <c r="BH83" s="31">
        <v>0.96947496947496947</v>
      </c>
      <c r="BI83" s="31">
        <v>0.95303550973654061</v>
      </c>
      <c r="BJ83" s="31">
        <v>0.95335335945350674</v>
      </c>
      <c r="BK83" s="31">
        <v>0.91646778042959431</v>
      </c>
      <c r="BL83" s="31">
        <v>0.96193771626297575</v>
      </c>
      <c r="BM83" s="31">
        <v>0.93468468468468469</v>
      </c>
      <c r="BN83" s="31">
        <v>0.91371158392434992</v>
      </c>
      <c r="BO83" s="31">
        <v>0.93131548311990686</v>
      </c>
      <c r="BP83" s="31">
        <v>0.97788125727590225</v>
      </c>
      <c r="BQ83" s="31">
        <v>0.95622119815668205</v>
      </c>
      <c r="BR83" s="31">
        <v>0.9417456719791566</v>
      </c>
      <c r="BS83" s="31">
        <v>0.94215795328142382</v>
      </c>
      <c r="BT83" s="31">
        <v>0.95819209039548026</v>
      </c>
      <c r="BU83" s="31">
        <v>0.93418259023354566</v>
      </c>
      <c r="BV83" s="31">
        <v>0.94355697550585726</v>
      </c>
      <c r="BW83" s="31">
        <v>0.94390507011866231</v>
      </c>
      <c r="BX83" s="31">
        <v>0.9638418079096045</v>
      </c>
      <c r="BY83" s="31">
        <v>0.97438882421420259</v>
      </c>
      <c r="BZ83" s="31">
        <v>0.95146075880839664</v>
      </c>
      <c r="CA83" s="31">
        <v>0.94625922023182296</v>
      </c>
      <c r="CB83" s="31">
        <v>0.94994675186368482</v>
      </c>
      <c r="CC83" s="31">
        <v>0.94942044257112745</v>
      </c>
      <c r="CD83" s="31">
        <v>0.94204425711275031</v>
      </c>
      <c r="CE83" s="31">
        <v>0.93319194061505828</v>
      </c>
      <c r="CF83" s="31">
        <v>0.95324123273113703</v>
      </c>
      <c r="CG83" s="31">
        <v>0.95877378435517968</v>
      </c>
      <c r="CH83" s="31">
        <v>0.9475539470686799</v>
      </c>
      <c r="CI83" s="31">
        <v>0.91192266380236309</v>
      </c>
      <c r="CJ83" s="31">
        <v>0.94508975712777188</v>
      </c>
      <c r="CK83" s="31">
        <v>0.90638297872340423</v>
      </c>
      <c r="CL83" s="31">
        <v>0.92978723404255315</v>
      </c>
      <c r="CM83" s="31">
        <v>0.91949152542372881</v>
      </c>
      <c r="CN83" s="31">
        <v>0.95021186440677963</v>
      </c>
      <c r="CO83" s="31">
        <v>0.90889830508474578</v>
      </c>
      <c r="CP83" s="31">
        <v>0.92454061837304968</v>
      </c>
      <c r="CQ83" s="31">
        <v>0.92997811816192555</v>
      </c>
      <c r="CR83" s="31">
        <v>0.93510638297872339</v>
      </c>
      <c r="CS83" s="31">
        <v>0.93107221006564556</v>
      </c>
      <c r="CT83" s="31">
        <v>0.92669584245076586</v>
      </c>
      <c r="CU83" s="31">
        <v>0.93013100436681218</v>
      </c>
      <c r="CV83" s="31">
        <v>0.92669584245076586</v>
      </c>
      <c r="CW83" s="31">
        <v>0.93388429752066116</v>
      </c>
      <c r="CX83" s="31">
        <v>0.93050909971361417</v>
      </c>
      <c r="CY83" s="31">
        <v>0.91873589164785552</v>
      </c>
      <c r="CZ83" s="31">
        <v>0.93982494529540483</v>
      </c>
      <c r="DA83" s="31">
        <v>0.92128603104212858</v>
      </c>
      <c r="DB83" s="31">
        <v>0.94847775175644033</v>
      </c>
      <c r="DC83" s="31">
        <v>0.91009988901220862</v>
      </c>
      <c r="DD83" s="31">
        <v>0.95116537180910099</v>
      </c>
      <c r="DE83" s="31">
        <v>0.86570477247502775</v>
      </c>
      <c r="DF83" s="31">
        <v>0.92218495043402382</v>
      </c>
      <c r="DG83" s="31">
        <v>0.93255813953488376</v>
      </c>
      <c r="DH83" s="31">
        <v>0.93480791618160652</v>
      </c>
      <c r="DI83" s="31">
        <v>0.88604651162790693</v>
      </c>
      <c r="DJ83" s="31">
        <v>0.91744186046511633</v>
      </c>
      <c r="DK83" s="31">
        <v>0.92395005675368902</v>
      </c>
      <c r="DL83" s="31">
        <v>0.94553881807647744</v>
      </c>
      <c r="DM83" s="31">
        <v>0.9523269012485811</v>
      </c>
      <c r="DN83" s="31">
        <v>0.92752431484118003</v>
      </c>
      <c r="DO83" s="31">
        <v>0.92701664532650452</v>
      </c>
      <c r="DP83" s="31">
        <v>0.92674418604651165</v>
      </c>
      <c r="DQ83" s="31">
        <v>0.91805377720870673</v>
      </c>
      <c r="DR83" s="31">
        <v>0.91037131882202305</v>
      </c>
      <c r="DS83" s="31">
        <v>0.9</v>
      </c>
      <c r="DT83" s="31">
        <v>0.92080378250591022</v>
      </c>
      <c r="DU83" s="31">
        <v>0.93149038461538458</v>
      </c>
      <c r="DV83" s="31">
        <v>0.91921144207500582</v>
      </c>
      <c r="DW83" s="31">
        <v>0.89390243902439026</v>
      </c>
      <c r="DX83" s="31">
        <v>0.91421254801536489</v>
      </c>
      <c r="DY83" s="31">
        <v>0.8647990255785627</v>
      </c>
      <c r="DZ83" s="31">
        <v>0.86723507917174181</v>
      </c>
      <c r="EA83" s="31">
        <v>0.88481012658227853</v>
      </c>
      <c r="EB83" s="31">
        <v>0.89234760051880679</v>
      </c>
      <c r="EC83" s="31">
        <v>0.91392405063291138</v>
      </c>
      <c r="ED83" s="31">
        <v>0.89017583850343662</v>
      </c>
      <c r="EE83" s="31">
        <v>0.92439024390243907</v>
      </c>
      <c r="EF83" s="31">
        <v>0.89890377588306947</v>
      </c>
      <c r="EG83" s="31">
        <v>0.91097560975609759</v>
      </c>
      <c r="EH83" s="31">
        <v>0.91097560975609759</v>
      </c>
      <c r="EI83" s="31">
        <v>0.92326732673267331</v>
      </c>
      <c r="EJ83" s="31">
        <v>0.92307692307692313</v>
      </c>
      <c r="EK83" s="31">
        <v>0.92429792429792434</v>
      </c>
      <c r="EL83" s="31">
        <v>0.91655534477217493</v>
      </c>
    </row>
    <row r="84" spans="38:142" x14ac:dyDescent="0.35">
      <c r="AL84" s="19" t="s">
        <v>262</v>
      </c>
      <c r="AM84" s="31">
        <v>0.88026607538802659</v>
      </c>
      <c r="AN84" s="31">
        <v>0.87058823529411766</v>
      </c>
      <c r="AO84" s="31">
        <v>0.82926829268292679</v>
      </c>
      <c r="AP84" s="31">
        <v>0.88053097345132747</v>
      </c>
      <c r="AQ84" s="31">
        <v>0.87583148558758317</v>
      </c>
      <c r="AR84" s="31">
        <v>0.93882352941176472</v>
      </c>
      <c r="AS84" s="31">
        <v>0.8351648351648352</v>
      </c>
      <c r="AT84" s="31">
        <v>0.8729247752829401</v>
      </c>
      <c r="AU84" s="31">
        <v>0.88372093023255816</v>
      </c>
      <c r="AV84" s="31">
        <v>0.8727678571428571</v>
      </c>
      <c r="AW84" s="31">
        <v>0.87674418604651161</v>
      </c>
      <c r="AX84" s="31">
        <v>0.87927107061503418</v>
      </c>
      <c r="AY84" s="31">
        <v>0.89864864864864868</v>
      </c>
      <c r="AZ84" s="31">
        <v>0.8950892857142857</v>
      </c>
      <c r="BA84" s="31">
        <v>0.90888888888888886</v>
      </c>
      <c r="BB84" s="31">
        <v>0.88787583818411187</v>
      </c>
      <c r="BC84" s="31">
        <v>0.93736017897091728</v>
      </c>
      <c r="BD84" s="31">
        <v>0.91814159292035402</v>
      </c>
      <c r="BE84" s="31">
        <v>0.80186480186480191</v>
      </c>
      <c r="BF84" s="31">
        <v>0.86182669789227162</v>
      </c>
      <c r="BG84" s="31">
        <v>0.91916859122401851</v>
      </c>
      <c r="BH84" s="31">
        <v>0.93736017897091728</v>
      </c>
      <c r="BI84" s="31">
        <v>0.94104803493449785</v>
      </c>
      <c r="BJ84" s="31">
        <v>0.90239572525396838</v>
      </c>
      <c r="BK84" s="31">
        <v>0.71495327102803741</v>
      </c>
      <c r="BL84" s="31">
        <v>0.90625</v>
      </c>
      <c r="BM84" s="31">
        <v>0.77777777777777779</v>
      </c>
      <c r="BN84" s="31">
        <v>0.78250591016548465</v>
      </c>
      <c r="BO84" s="31">
        <v>0.81176470588235294</v>
      </c>
      <c r="BP84" s="31">
        <v>0.89548693586698336</v>
      </c>
      <c r="BQ84" s="31">
        <v>0.86761229314420807</v>
      </c>
      <c r="BR84" s="31">
        <v>0.82233584198069198</v>
      </c>
      <c r="BS84" s="31">
        <v>0.76201372997711669</v>
      </c>
      <c r="BT84" s="31">
        <v>0.830952380952381</v>
      </c>
      <c r="BU84" s="31">
        <v>0.75501113585746105</v>
      </c>
      <c r="BV84" s="31">
        <v>0.81882352941176473</v>
      </c>
      <c r="BW84" s="31">
        <v>0.82909930715935332</v>
      </c>
      <c r="BX84" s="31">
        <v>0.86288416075650121</v>
      </c>
      <c r="BY84" s="31">
        <v>0.86538461538461542</v>
      </c>
      <c r="BZ84" s="31">
        <v>0.81773840849988466</v>
      </c>
      <c r="CA84" s="31">
        <v>0.86818181818181817</v>
      </c>
      <c r="CB84" s="31">
        <v>0.87185354691075512</v>
      </c>
      <c r="CC84" s="31">
        <v>0.82045454545454544</v>
      </c>
      <c r="CD84" s="31">
        <v>0.81590909090909092</v>
      </c>
      <c r="CE84" s="31">
        <v>0.8810068649885584</v>
      </c>
      <c r="CF84" s="31">
        <v>0.9124423963133641</v>
      </c>
      <c r="CG84" s="31">
        <v>0.88167053364269143</v>
      </c>
      <c r="CH84" s="31">
        <v>0.86450268520011775</v>
      </c>
      <c r="CI84" s="31">
        <v>0.85336538461538458</v>
      </c>
      <c r="CJ84" s="31">
        <v>0.84439359267734548</v>
      </c>
      <c r="CK84" s="31">
        <v>0.79952830188679247</v>
      </c>
      <c r="CL84" s="31">
        <v>0.78155339805825241</v>
      </c>
      <c r="CM84" s="31">
        <v>0.87081339712918659</v>
      </c>
      <c r="CN84" s="31">
        <v>0.85617977528089884</v>
      </c>
      <c r="CO84" s="31">
        <v>0.88066825775656321</v>
      </c>
      <c r="CP84" s="31">
        <v>0.84092887248634618</v>
      </c>
      <c r="CQ84" s="31">
        <v>0.87764705882352945</v>
      </c>
      <c r="CR84" s="31">
        <v>0.82159624413145538</v>
      </c>
      <c r="CS84" s="31">
        <v>0.86288416075650121</v>
      </c>
      <c r="CT84" s="31">
        <v>0.87710843373493974</v>
      </c>
      <c r="CU84" s="31">
        <v>0.90167865707434047</v>
      </c>
      <c r="CV84" s="31">
        <v>0.85071090047393361</v>
      </c>
      <c r="CW84" s="31">
        <v>0.89924433249370272</v>
      </c>
      <c r="CX84" s="31">
        <v>0.8701242553554861</v>
      </c>
      <c r="CY84" s="31">
        <v>0.80568720379146919</v>
      </c>
      <c r="CZ84" s="31">
        <v>0.86407766990291257</v>
      </c>
      <c r="DA84" s="31">
        <v>0.80288461538461542</v>
      </c>
      <c r="DB84" s="31">
        <v>0.80343980343980348</v>
      </c>
      <c r="DC84" s="31">
        <v>0.81603773584905659</v>
      </c>
      <c r="DD84" s="31">
        <v>0.88735632183908042</v>
      </c>
      <c r="DE84" s="31">
        <v>0.83796296296296291</v>
      </c>
      <c r="DF84" s="31">
        <v>0.83106375902427154</v>
      </c>
      <c r="DG84" s="31">
        <v>0.82566585956416461</v>
      </c>
      <c r="DH84" s="31">
        <v>0.83371824480369516</v>
      </c>
      <c r="DI84" s="31">
        <v>0.79024390243902443</v>
      </c>
      <c r="DJ84" s="31">
        <v>0.79024390243902443</v>
      </c>
      <c r="DK84" s="31">
        <v>0.87468671679197996</v>
      </c>
      <c r="DL84" s="31">
        <v>0.85111662531017374</v>
      </c>
      <c r="DM84" s="31">
        <v>0.87468671679197996</v>
      </c>
      <c r="DN84" s="31">
        <v>0.8343374240200061</v>
      </c>
      <c r="DO84" s="31">
        <v>0.79047619047619044</v>
      </c>
      <c r="DP84" s="31">
        <v>0.82063882063882065</v>
      </c>
      <c r="DQ84" s="31">
        <v>0.85</v>
      </c>
      <c r="DR84" s="31">
        <v>0.86190476190476195</v>
      </c>
      <c r="DS84" s="31">
        <v>0.82701421800947872</v>
      </c>
      <c r="DT84" s="31">
        <v>0.81516587677725116</v>
      </c>
      <c r="DU84" s="31">
        <v>0.82742316784869974</v>
      </c>
      <c r="DV84" s="31">
        <v>0.82751757652217173</v>
      </c>
      <c r="DW84" s="31">
        <v>0.90663390663390664</v>
      </c>
      <c r="DX84" s="31">
        <v>0.86265060240963853</v>
      </c>
      <c r="DY84" s="31">
        <v>0.91791044776119401</v>
      </c>
      <c r="DZ84" s="31">
        <v>0.87250000000000005</v>
      </c>
      <c r="EA84" s="31">
        <v>0.89526184538653364</v>
      </c>
      <c r="EB84" s="31">
        <v>0.92010309278350511</v>
      </c>
      <c r="EC84" s="31">
        <v>0.89195979899497491</v>
      </c>
      <c r="ED84" s="31">
        <v>0.89528852770996459</v>
      </c>
      <c r="EE84" s="31">
        <v>0.88571428571428568</v>
      </c>
      <c r="EF84" s="31">
        <v>0.90686274509803921</v>
      </c>
      <c r="EG84" s="31">
        <v>0.8666666666666667</v>
      </c>
      <c r="EH84" s="31">
        <v>0.91041162227602901</v>
      </c>
      <c r="EI84" s="31">
        <v>0.92142857142857137</v>
      </c>
      <c r="EJ84" s="31">
        <v>0.93446601941747576</v>
      </c>
      <c r="EK84" s="31">
        <v>0.90709046454767728</v>
      </c>
      <c r="EL84" s="31">
        <v>0.90466291073553506</v>
      </c>
    </row>
    <row r="85" spans="38:142" x14ac:dyDescent="0.35">
      <c r="AL85" s="19" t="s">
        <v>132</v>
      </c>
      <c r="AM85" s="31">
        <v>0.90858208955223885</v>
      </c>
      <c r="AN85" s="31">
        <v>0.81902985074626866</v>
      </c>
      <c r="AO85" s="31">
        <v>0.8832391713747646</v>
      </c>
      <c r="AP85" s="31">
        <v>0.88555347091932457</v>
      </c>
      <c r="AQ85" s="31">
        <v>0.86900369003690037</v>
      </c>
      <c r="AR85" s="31">
        <v>0.89473684210526316</v>
      </c>
      <c r="AS85" s="31">
        <v>0.8931860036832413</v>
      </c>
      <c r="AT85" s="31">
        <v>0.87904730263114317</v>
      </c>
      <c r="AU85" s="31">
        <v>0.92734225621414912</v>
      </c>
      <c r="AV85" s="31">
        <v>0.90467289719626165</v>
      </c>
      <c r="AW85" s="31">
        <v>0.85964912280701755</v>
      </c>
      <c r="AX85" s="31">
        <v>0.85823754789272033</v>
      </c>
      <c r="AY85" s="31">
        <v>0.92337917485265231</v>
      </c>
      <c r="AZ85" s="31">
        <v>0.90857142857142859</v>
      </c>
      <c r="BA85" s="31">
        <v>0.88246628131021199</v>
      </c>
      <c r="BB85" s="31">
        <v>0.89490267269206314</v>
      </c>
      <c r="BC85" s="31">
        <v>0.82307692307692304</v>
      </c>
      <c r="BD85" s="31">
        <v>0.86923076923076925</v>
      </c>
      <c r="BE85" s="31">
        <v>0.81320754716981136</v>
      </c>
      <c r="BF85" s="31">
        <v>0.84007707129094411</v>
      </c>
      <c r="BG85" s="31">
        <v>0.84046692607003892</v>
      </c>
      <c r="BH85" s="31">
        <v>0.875</v>
      </c>
      <c r="BI85" s="31">
        <v>0.85416666666666663</v>
      </c>
      <c r="BJ85" s="31">
        <v>0.84503227192930752</v>
      </c>
      <c r="BK85" s="31">
        <v>0.73930753564154783</v>
      </c>
      <c r="BL85" s="31">
        <v>0.8680688336520076</v>
      </c>
      <c r="BM85" s="31">
        <v>0.7689243027888446</v>
      </c>
      <c r="BN85" s="31">
        <v>0.81113320079522866</v>
      </c>
      <c r="BO85" s="31">
        <v>0.82388663967611331</v>
      </c>
      <c r="BP85" s="31">
        <v>0.87937743190661477</v>
      </c>
      <c r="BQ85" s="31">
        <v>0.87015503875968991</v>
      </c>
      <c r="BR85" s="31">
        <v>0.82297899760286397</v>
      </c>
      <c r="BS85" s="31">
        <v>0.82935779816513766</v>
      </c>
      <c r="BT85" s="31">
        <v>0.85971943887775548</v>
      </c>
      <c r="BU85" s="31">
        <v>0.80762250453720508</v>
      </c>
      <c r="BV85" s="31">
        <v>0.8290909090909091</v>
      </c>
      <c r="BW85" s="31">
        <v>0.83426443202979517</v>
      </c>
      <c r="BX85" s="31">
        <v>0.87673956262425445</v>
      </c>
      <c r="BY85" s="31">
        <v>0.87406015037593987</v>
      </c>
      <c r="BZ85" s="31">
        <v>0.84440782795728531</v>
      </c>
      <c r="CA85" s="31">
        <v>0.88043478260869568</v>
      </c>
      <c r="CB85" s="31">
        <v>0.8545454545454545</v>
      </c>
      <c r="CC85" s="31">
        <v>0.88181818181818183</v>
      </c>
      <c r="CD85" s="31">
        <v>0.86715867158671589</v>
      </c>
      <c r="CE85" s="31">
        <v>0.8954128440366973</v>
      </c>
      <c r="CF85" s="31">
        <v>0.89673913043478259</v>
      </c>
      <c r="CG85" s="31">
        <v>0.88342440801457189</v>
      </c>
      <c r="CH85" s="31">
        <v>0.87993335329215705</v>
      </c>
      <c r="CI85" s="31">
        <v>0.83733826247689469</v>
      </c>
      <c r="CJ85" s="31">
        <v>0.8656987295825771</v>
      </c>
      <c r="CK85" s="31">
        <v>0.78195488721804507</v>
      </c>
      <c r="CL85" s="31">
        <v>0.77509293680297398</v>
      </c>
      <c r="CM85" s="31">
        <v>0.87174721189591076</v>
      </c>
      <c r="CN85" s="31">
        <v>0.87202925045703839</v>
      </c>
      <c r="CO85" s="31">
        <v>0.89981096408317585</v>
      </c>
      <c r="CP85" s="31">
        <v>0.84338174893094497</v>
      </c>
      <c r="CQ85" s="31">
        <v>0.86549707602339176</v>
      </c>
      <c r="CR85" s="31">
        <v>0.82840236686390534</v>
      </c>
      <c r="CS85" s="31">
        <v>0.8375241779497099</v>
      </c>
      <c r="CT85" s="31">
        <v>0.82442748091603058</v>
      </c>
      <c r="CU85" s="31">
        <v>0.87771203155818545</v>
      </c>
      <c r="CV85" s="31">
        <v>0.85742574257425741</v>
      </c>
      <c r="CW85" s="31">
        <v>0.85311871227364189</v>
      </c>
      <c r="CX85" s="31">
        <v>0.84915822687987463</v>
      </c>
      <c r="CY85" s="31">
        <v>0.89484126984126988</v>
      </c>
      <c r="CZ85" s="31">
        <v>0.8645038167938931</v>
      </c>
      <c r="DA85" s="31">
        <v>0.8666666666666667</v>
      </c>
      <c r="DB85" s="31">
        <v>0.83040935672514615</v>
      </c>
      <c r="DC85" s="31">
        <v>0.87903225806451613</v>
      </c>
      <c r="DD85" s="31">
        <v>0.87523992322456812</v>
      </c>
      <c r="DE85" s="31">
        <v>0.8675623800383877</v>
      </c>
      <c r="DF85" s="31">
        <v>0.86832223876492098</v>
      </c>
      <c r="DG85" s="31">
        <v>0.85046728971962615</v>
      </c>
      <c r="DH85" s="31">
        <v>0.87254901960784315</v>
      </c>
      <c r="DI85" s="31">
        <v>0.81801470588235292</v>
      </c>
      <c r="DJ85" s="31">
        <v>0.81515711645101663</v>
      </c>
      <c r="DK85" s="31">
        <v>0.9005736137667304</v>
      </c>
      <c r="DL85" s="31">
        <v>0.90118577075098816</v>
      </c>
      <c r="DM85" s="31">
        <v>0.9119373776908023</v>
      </c>
      <c r="DN85" s="31">
        <v>0.86712641340990859</v>
      </c>
      <c r="DO85" s="31">
        <v>0.83882783882783885</v>
      </c>
      <c r="DP85" s="31">
        <v>0.83639705882352944</v>
      </c>
      <c r="DQ85" s="31">
        <v>0.84460694698354666</v>
      </c>
      <c r="DR85" s="31">
        <v>0.84375</v>
      </c>
      <c r="DS85" s="31">
        <v>0.81555153707052441</v>
      </c>
      <c r="DT85" s="31">
        <v>0.88224299065420564</v>
      </c>
      <c r="DU85" s="31">
        <v>0.83612662942271876</v>
      </c>
      <c r="DV85" s="31">
        <v>0.84250042882605203</v>
      </c>
      <c r="DW85" s="31">
        <v>0.89224952741020791</v>
      </c>
      <c r="DX85" s="31">
        <v>0.86972477064220188</v>
      </c>
      <c r="DY85" s="31">
        <v>0.87332053742802307</v>
      </c>
      <c r="DZ85" s="31">
        <v>0.87762906309751432</v>
      </c>
      <c r="EA85" s="31">
        <v>0.91764705882352937</v>
      </c>
      <c r="EB85" s="31">
        <v>0.87962962962962965</v>
      </c>
      <c r="EC85" s="31">
        <v>0.8916827852998066</v>
      </c>
      <c r="ED85" s="31">
        <v>0.88598333890441605</v>
      </c>
      <c r="EE85" s="31">
        <v>0.87570621468926557</v>
      </c>
      <c r="EF85" s="31">
        <v>0.90037593984962405</v>
      </c>
      <c r="EG85" s="31">
        <v>0.83925233644859809</v>
      </c>
      <c r="EH85" s="31">
        <v>0.80747663551401871</v>
      </c>
      <c r="EI85" s="31">
        <v>0.90789473684210531</v>
      </c>
      <c r="EJ85" s="31">
        <v>0.87751371115173671</v>
      </c>
      <c r="EK85" s="31">
        <v>0.89074074074074072</v>
      </c>
      <c r="EL85" s="31">
        <v>0.87128004503372714</v>
      </c>
    </row>
    <row r="86" spans="38:142" x14ac:dyDescent="0.35">
      <c r="AL86" s="19" t="s">
        <v>133</v>
      </c>
      <c r="AM86" s="31">
        <v>0.89580318379160639</v>
      </c>
      <c r="AN86" s="31">
        <v>0.88115942028985506</v>
      </c>
      <c r="AO86" s="31">
        <v>0.84349030470914133</v>
      </c>
      <c r="AP86" s="31">
        <v>0.88011283497884341</v>
      </c>
      <c r="AQ86" s="31">
        <v>0.89674681753889673</v>
      </c>
      <c r="AR86" s="31">
        <v>0.92762186115214185</v>
      </c>
      <c r="AS86" s="31">
        <v>0.92521994134897356</v>
      </c>
      <c r="AT86" s="31">
        <v>0.89287919482992273</v>
      </c>
      <c r="AU86" s="31">
        <v>0.94092827004219415</v>
      </c>
      <c r="AV86" s="31">
        <v>0.88746438746438749</v>
      </c>
      <c r="AW86" s="31">
        <v>0.89393939393939392</v>
      </c>
      <c r="AX86" s="31">
        <v>0.87741046831955927</v>
      </c>
      <c r="AY86" s="31">
        <v>0.94233473980309423</v>
      </c>
      <c r="AZ86" s="31">
        <v>0.89612188365650969</v>
      </c>
      <c r="BA86" s="31">
        <v>0.9068493150684932</v>
      </c>
      <c r="BB86" s="31">
        <v>0.90643549404194756</v>
      </c>
      <c r="BC86" s="31">
        <v>0.93069306930693074</v>
      </c>
      <c r="BD86" s="31">
        <v>0.93379310344827582</v>
      </c>
      <c r="BE86" s="31">
        <v>0.88655462184873945</v>
      </c>
      <c r="BF86" s="31">
        <v>0.88235294117647056</v>
      </c>
      <c r="BG86" s="31">
        <v>0.96011396011396011</v>
      </c>
      <c r="BH86" s="31">
        <v>0.95378151260504207</v>
      </c>
      <c r="BI86" s="31">
        <v>0.9662921348314607</v>
      </c>
      <c r="BJ86" s="31">
        <v>0.9305116204758398</v>
      </c>
      <c r="BK86" s="31">
        <v>0.73529411764705888</v>
      </c>
      <c r="BL86" s="31">
        <v>0.91860465116279066</v>
      </c>
      <c r="BM86" s="31">
        <v>0.75210084033613445</v>
      </c>
      <c r="BN86" s="31">
        <v>0.7857142857142857</v>
      </c>
      <c r="BO86" s="31">
        <v>0.85311572700296734</v>
      </c>
      <c r="BP86" s="31">
        <v>0.96</v>
      </c>
      <c r="BQ86" s="31">
        <v>0.89352517985611513</v>
      </c>
      <c r="BR86" s="31">
        <v>0.84262211453133595</v>
      </c>
      <c r="BS86" s="31">
        <v>0.85994397759103647</v>
      </c>
      <c r="BT86" s="31">
        <v>0.82072829131652658</v>
      </c>
      <c r="BU86" s="31">
        <v>0.84453781512605042</v>
      </c>
      <c r="BV86" s="31">
        <v>0.90057636887608072</v>
      </c>
      <c r="BW86" s="31">
        <v>0.89670014347202298</v>
      </c>
      <c r="BX86" s="31">
        <v>0.83563535911602205</v>
      </c>
      <c r="BY86" s="31">
        <v>0.88968481375358166</v>
      </c>
      <c r="BZ86" s="31">
        <v>0.86397239560733152</v>
      </c>
      <c r="CA86" s="31">
        <v>0.88309859154929582</v>
      </c>
      <c r="CB86" s="31">
        <v>0.89106145251396651</v>
      </c>
      <c r="CC86" s="31">
        <v>0.847009735744089</v>
      </c>
      <c r="CD86" s="31">
        <v>0.84979137691237827</v>
      </c>
      <c r="CE86" s="31">
        <v>0.86621621621621625</v>
      </c>
      <c r="CF86" s="31">
        <v>0.9</v>
      </c>
      <c r="CG86" s="31">
        <v>0.90233837689133423</v>
      </c>
      <c r="CH86" s="31">
        <v>0.87707367854675433</v>
      </c>
      <c r="CI86" s="31">
        <v>0.87988422575976843</v>
      </c>
      <c r="CJ86" s="31">
        <v>0.88531468531468527</v>
      </c>
      <c r="CK86" s="31">
        <v>0.86317321688500726</v>
      </c>
      <c r="CL86" s="31">
        <v>0.86019971469329526</v>
      </c>
      <c r="CM86" s="31">
        <v>0.89080459770114939</v>
      </c>
      <c r="CN86" s="31">
        <v>0.901685393258427</v>
      </c>
      <c r="CO86" s="31">
        <v>0.85915492957746475</v>
      </c>
      <c r="CP86" s="31">
        <v>0.87717382331282823</v>
      </c>
      <c r="CQ86" s="31">
        <v>0.90074074074074073</v>
      </c>
      <c r="CR86" s="31">
        <v>0.8978102189781022</v>
      </c>
      <c r="CS86" s="31">
        <v>0.72243346007604559</v>
      </c>
      <c r="CT86" s="31">
        <v>0.73257287705956908</v>
      </c>
      <c r="CU86" s="31">
        <v>0.91411935953420664</v>
      </c>
      <c r="CV86" s="31">
        <v>0.90368271954674217</v>
      </c>
      <c r="CW86" s="31">
        <v>0.89029535864978904</v>
      </c>
      <c r="CX86" s="31">
        <v>0.85166496208359932</v>
      </c>
      <c r="CY86" s="31">
        <v>0.77486910994764402</v>
      </c>
      <c r="CZ86" s="31">
        <v>0.75224646983311938</v>
      </c>
      <c r="DA86" s="31">
        <v>0.78823529411764703</v>
      </c>
      <c r="DB86" s="31" t="e">
        <v>#NUM!</v>
      </c>
      <c r="DC86" s="31">
        <v>0.7689295039164491</v>
      </c>
      <c r="DD86" s="31">
        <v>0.79177377892030854</v>
      </c>
      <c r="DE86" s="31">
        <v>0.80025940337224388</v>
      </c>
      <c r="DF86" s="31" t="e">
        <v>#NUM!</v>
      </c>
      <c r="DG86" s="31">
        <v>0.77114427860696522</v>
      </c>
      <c r="DH86" s="31">
        <v>0.77933673469387754</v>
      </c>
      <c r="DI86" s="31">
        <v>0.69678217821782173</v>
      </c>
      <c r="DJ86" s="31">
        <v>0.72534332084893882</v>
      </c>
      <c r="DK86" s="31">
        <v>0.79192938209331654</v>
      </c>
      <c r="DL86" s="31">
        <v>0.81241914618369993</v>
      </c>
      <c r="DM86" s="31">
        <v>0.81241914618369993</v>
      </c>
      <c r="DN86" s="31">
        <v>0.7699105981183314</v>
      </c>
      <c r="DO86" s="31">
        <v>0.74902975420439843</v>
      </c>
      <c r="DP86" s="31">
        <v>0.71355498721227617</v>
      </c>
      <c r="DQ86" s="31">
        <v>0.80790960451977401</v>
      </c>
      <c r="DR86" s="31">
        <v>0.80028328611898014</v>
      </c>
      <c r="DS86" s="31">
        <v>0.76190476190476186</v>
      </c>
      <c r="DT86" s="31">
        <v>0.73940949935815148</v>
      </c>
      <c r="DU86" s="31">
        <v>0.76478149100257065</v>
      </c>
      <c r="DV86" s="31">
        <v>0.7624104834744162</v>
      </c>
      <c r="DW86" s="31">
        <v>0.76408912188728706</v>
      </c>
      <c r="DX86" s="31">
        <v>0.7409326424870466</v>
      </c>
      <c r="DY86" s="31">
        <v>0.73167539267015702</v>
      </c>
      <c r="DZ86" s="31">
        <v>0.75654450261780104</v>
      </c>
      <c r="EA86" s="31">
        <v>0.77937336814621405</v>
      </c>
      <c r="EB86" s="31">
        <v>0.77142857142857146</v>
      </c>
      <c r="EC86" s="31">
        <v>0.78335535006605017</v>
      </c>
      <c r="ED86" s="31">
        <v>0.76105699275758965</v>
      </c>
      <c r="EE86" s="31">
        <v>0.7594771241830065</v>
      </c>
      <c r="EF86" s="31">
        <v>0.76832460732984298</v>
      </c>
      <c r="EG86" s="31">
        <v>0.73856209150326801</v>
      </c>
      <c r="EH86" s="31">
        <v>0.76209150326797381</v>
      </c>
      <c r="EI86" s="31">
        <v>0.79610389610389609</v>
      </c>
      <c r="EJ86" s="31">
        <v>0.79030144167758842</v>
      </c>
      <c r="EK86" s="31">
        <v>0.80471821756225426</v>
      </c>
      <c r="EL86" s="31">
        <v>0.77422555451826136</v>
      </c>
    </row>
    <row r="87" spans="38:142" x14ac:dyDescent="0.35">
      <c r="AL87" s="19" t="s">
        <v>134</v>
      </c>
      <c r="AM87" s="31">
        <v>0.90487804878048783</v>
      </c>
      <c r="AN87" s="31">
        <v>0.93622448979591832</v>
      </c>
      <c r="AO87" s="31">
        <v>0.9211822660098522</v>
      </c>
      <c r="AP87" s="31">
        <v>0.89950980392156865</v>
      </c>
      <c r="AQ87" s="31">
        <v>0.87745098039215685</v>
      </c>
      <c r="AR87" s="31">
        <v>0.91603053435114501</v>
      </c>
      <c r="AS87" s="31">
        <v>0.92346938775510201</v>
      </c>
      <c r="AT87" s="31">
        <v>0.91124935871517609</v>
      </c>
      <c r="AU87" s="31">
        <v>0.92961165048543692</v>
      </c>
      <c r="AV87" s="31">
        <v>0.94607843137254899</v>
      </c>
      <c r="AW87" s="31">
        <v>0.94312796208530802</v>
      </c>
      <c r="AX87" s="31">
        <v>0.92565947242206237</v>
      </c>
      <c r="AY87" s="31">
        <v>0.95388349514563109</v>
      </c>
      <c r="AZ87" s="31">
        <v>0.97073170731707314</v>
      </c>
      <c r="BA87" s="31">
        <v>0.95853658536585362</v>
      </c>
      <c r="BB87" s="31">
        <v>0.94680418631341623</v>
      </c>
      <c r="BC87" s="31">
        <v>0.95961995249406173</v>
      </c>
      <c r="BD87" s="31">
        <v>0.96437054631828978</v>
      </c>
      <c r="BE87" s="31">
        <v>0.91566265060240959</v>
      </c>
      <c r="BF87" s="31">
        <v>0.91154791154791159</v>
      </c>
      <c r="BG87" s="31">
        <v>0.94988066825775652</v>
      </c>
      <c r="BH87" s="31">
        <v>0.96368038740920092</v>
      </c>
      <c r="BI87" s="31">
        <v>0.97368421052631582</v>
      </c>
      <c r="BJ87" s="31">
        <v>0.94834947530799218</v>
      </c>
      <c r="BK87" s="31">
        <v>0.9</v>
      </c>
      <c r="BL87" s="31">
        <v>0.91625615763546797</v>
      </c>
      <c r="BM87" s="31">
        <v>0.84119106699751856</v>
      </c>
      <c r="BN87" s="31">
        <v>0.86259541984732824</v>
      </c>
      <c r="BO87" s="31">
        <v>0.86075949367088611</v>
      </c>
      <c r="BP87" s="31">
        <v>0.91022443890274318</v>
      </c>
      <c r="BQ87" s="31">
        <v>0.89800995024875618</v>
      </c>
      <c r="BR87" s="31">
        <v>0.88414807532895723</v>
      </c>
      <c r="BS87" s="31">
        <v>0.90861618798955612</v>
      </c>
      <c r="BT87" s="31">
        <v>0.92385786802030456</v>
      </c>
      <c r="BU87" s="31">
        <v>0.85747663551401865</v>
      </c>
      <c r="BV87" s="31">
        <v>0.9330024813895782</v>
      </c>
      <c r="BW87" s="31">
        <v>0.94910941475826971</v>
      </c>
      <c r="BX87" s="31">
        <v>0.95760598503740646</v>
      </c>
      <c r="BY87" s="31">
        <v>0.91442542787286063</v>
      </c>
      <c r="BZ87" s="31">
        <v>0.92058485722599914</v>
      </c>
      <c r="CA87" s="31">
        <v>0.8981042654028436</v>
      </c>
      <c r="CB87" s="31">
        <v>0.91154791154791159</v>
      </c>
      <c r="CC87" s="31">
        <v>0.91346153846153844</v>
      </c>
      <c r="CD87" s="31">
        <v>0.93704600484261502</v>
      </c>
      <c r="CE87" s="31">
        <v>0.92807424593967514</v>
      </c>
      <c r="CF87" s="31">
        <v>0.93457943925233644</v>
      </c>
      <c r="CG87" s="31">
        <v>0.93939393939393945</v>
      </c>
      <c r="CH87" s="31">
        <v>0.92317247783440848</v>
      </c>
      <c r="CI87" s="31">
        <v>0.93601895734597151</v>
      </c>
      <c r="CJ87" s="31">
        <v>0.92434988179669031</v>
      </c>
      <c r="CK87" s="31">
        <v>0.89537712895377131</v>
      </c>
      <c r="CL87" s="31">
        <v>0.89975550122249393</v>
      </c>
      <c r="CM87" s="31">
        <v>0.9133489461358314</v>
      </c>
      <c r="CN87" s="31">
        <v>0.93867924528301883</v>
      </c>
      <c r="CO87" s="31">
        <v>0.92448512585812359</v>
      </c>
      <c r="CP87" s="31">
        <v>0.91885925522798573</v>
      </c>
      <c r="CQ87" s="31">
        <v>0.84953703703703709</v>
      </c>
      <c r="CR87" s="31">
        <v>0.90821256038647347</v>
      </c>
      <c r="CS87" s="31">
        <v>0.85106382978723405</v>
      </c>
      <c r="CT87" s="31">
        <v>0.84597156398104267</v>
      </c>
      <c r="CU87" s="31">
        <v>0.88787185354691078</v>
      </c>
      <c r="CV87" s="31">
        <v>0.93220338983050843</v>
      </c>
      <c r="CW87" s="31">
        <v>0.92660550458715596</v>
      </c>
      <c r="CX87" s="31">
        <v>0.88592367702233765</v>
      </c>
      <c r="CY87" s="31">
        <v>0.85981308411214952</v>
      </c>
      <c r="CZ87" s="31">
        <v>0.8651685393258427</v>
      </c>
      <c r="DA87" s="31">
        <v>0.87096774193548387</v>
      </c>
      <c r="DB87" s="31">
        <v>0.83294663573085848</v>
      </c>
      <c r="DC87" s="31">
        <v>0.83524027459954231</v>
      </c>
      <c r="DD87" s="31">
        <v>0.83143507972665143</v>
      </c>
      <c r="DE87" s="31">
        <v>0.87356321839080464</v>
      </c>
      <c r="DF87" s="31">
        <v>0.85273351054590485</v>
      </c>
      <c r="DG87" s="31">
        <v>0.82439024390243898</v>
      </c>
      <c r="DH87" s="31">
        <v>0.85948477751756436</v>
      </c>
      <c r="DI87" s="31">
        <v>0.85167464114832536</v>
      </c>
      <c r="DJ87" s="31">
        <v>0.8014184397163121</v>
      </c>
      <c r="DK87" s="31">
        <v>0.8188405797101449</v>
      </c>
      <c r="DL87" s="31">
        <v>0.83492822966507174</v>
      </c>
      <c r="DM87" s="31">
        <v>0.86778846153846156</v>
      </c>
      <c r="DN87" s="31">
        <v>0.83693219617118841</v>
      </c>
      <c r="DO87" s="31">
        <v>0.82294264339152123</v>
      </c>
      <c r="DP87" s="31">
        <v>0.83492822966507174</v>
      </c>
      <c r="DQ87" s="31">
        <v>0.83959899749373434</v>
      </c>
      <c r="DR87" s="31">
        <v>0.88442211055276387</v>
      </c>
      <c r="DS87" s="31">
        <v>0.7665847665847666</v>
      </c>
      <c r="DT87" s="31">
        <v>0.83855421686746989</v>
      </c>
      <c r="DU87" s="31">
        <v>0.81951219512195117</v>
      </c>
      <c r="DV87" s="31">
        <v>0.82950616566818269</v>
      </c>
      <c r="DW87" s="31">
        <v>0.88452088452088451</v>
      </c>
      <c r="DX87" s="31">
        <v>0.86069651741293529</v>
      </c>
      <c r="DY87" s="31">
        <v>0.87469287469287471</v>
      </c>
      <c r="DZ87" s="31">
        <v>0.88264058679706603</v>
      </c>
      <c r="EA87" s="31">
        <v>0.91731266149870805</v>
      </c>
      <c r="EB87" s="31">
        <v>0.88888888888888884</v>
      </c>
      <c r="EC87" s="31">
        <v>0.87281795511221949</v>
      </c>
      <c r="ED87" s="31">
        <v>0.88308148127479669</v>
      </c>
      <c r="EE87" s="31">
        <v>0.93382352941176472</v>
      </c>
      <c r="EF87" s="31">
        <v>0.92978208232445525</v>
      </c>
      <c r="EG87" s="31">
        <v>0.89486552567237165</v>
      </c>
      <c r="EH87" s="31">
        <v>0.87654320987654322</v>
      </c>
      <c r="EI87" s="31">
        <v>0.92874109263657956</v>
      </c>
      <c r="EJ87" s="31">
        <v>0.92548076923076927</v>
      </c>
      <c r="EK87" s="31">
        <v>0.93673965936739656</v>
      </c>
      <c r="EL87" s="31">
        <v>0.91799655264569713</v>
      </c>
    </row>
    <row r="88" spans="38:142" x14ac:dyDescent="0.35">
      <c r="AL88" s="19" t="s">
        <v>135</v>
      </c>
      <c r="AM88" s="31">
        <v>0.80693069306930698</v>
      </c>
      <c r="AN88" s="31">
        <v>0.81433224755700329</v>
      </c>
      <c r="AO88" s="31">
        <v>0.75422427035330264</v>
      </c>
      <c r="AP88" s="31">
        <v>0.79242424242424248</v>
      </c>
      <c r="AQ88" s="31">
        <v>0.78685897435897434</v>
      </c>
      <c r="AR88" s="31">
        <v>0.85154975530179444</v>
      </c>
      <c r="AS88" s="31">
        <v>0.87390542907180391</v>
      </c>
      <c r="AT88" s="31">
        <v>0.81146080173377544</v>
      </c>
      <c r="AU88" s="31">
        <v>0.76490066225165565</v>
      </c>
      <c r="AV88" s="31">
        <v>0.7856071964017991</v>
      </c>
      <c r="AW88" s="31">
        <v>0.77586206896551724</v>
      </c>
      <c r="AX88" s="31">
        <v>0.76766091051805341</v>
      </c>
      <c r="AY88" s="31">
        <v>0.74246987951807231</v>
      </c>
      <c r="AZ88" s="31">
        <v>0.79475982532751088</v>
      </c>
      <c r="BA88" s="31">
        <v>0.78503184713375795</v>
      </c>
      <c r="BB88" s="31">
        <v>0.77375605573090944</v>
      </c>
      <c r="BC88" s="31">
        <v>0.85038167938931297</v>
      </c>
      <c r="BD88" s="31">
        <v>0.77265500794912556</v>
      </c>
      <c r="BE88" s="31">
        <v>0.80093312597200617</v>
      </c>
      <c r="BF88" s="31">
        <v>0.81616481774960381</v>
      </c>
      <c r="BG88" s="31">
        <v>0.84756097560975607</v>
      </c>
      <c r="BH88" s="31">
        <v>0.84012539184952983</v>
      </c>
      <c r="BI88" s="31">
        <v>0.82137404580152673</v>
      </c>
      <c r="BJ88" s="31">
        <v>0.82131357776012315</v>
      </c>
      <c r="BK88" s="31">
        <v>0.64873417721518989</v>
      </c>
      <c r="BL88" s="31">
        <v>0.78605388272583199</v>
      </c>
      <c r="BM88" s="31">
        <v>0.68404423380726698</v>
      </c>
      <c r="BN88" s="31">
        <v>0.77080291970802917</v>
      </c>
      <c r="BO88" s="31">
        <v>0.75</v>
      </c>
      <c r="BP88" s="31">
        <v>0.84737678855325915</v>
      </c>
      <c r="BQ88" s="31">
        <v>0.84920634920634919</v>
      </c>
      <c r="BR88" s="31">
        <v>0.76231690731656088</v>
      </c>
      <c r="BS88" s="31">
        <v>0.85451761102603374</v>
      </c>
      <c r="BT88" s="31">
        <v>0.80151515151515151</v>
      </c>
      <c r="BU88" s="31">
        <v>0.83536585365853655</v>
      </c>
      <c r="BV88" s="31">
        <v>0.86902927580893685</v>
      </c>
      <c r="BW88" s="31">
        <v>0.87938931297709921</v>
      </c>
      <c r="BX88" s="31">
        <v>0.87987519500780031</v>
      </c>
      <c r="BY88" s="31">
        <v>0.8705701078582434</v>
      </c>
      <c r="BZ88" s="31">
        <v>0.85575178683597153</v>
      </c>
      <c r="CA88" s="31">
        <v>0.89143730886850148</v>
      </c>
      <c r="CB88" s="31">
        <v>0.89795918367346939</v>
      </c>
      <c r="CC88" s="31">
        <v>0.87321711568938198</v>
      </c>
      <c r="CD88" s="31">
        <v>0.90966719492868464</v>
      </c>
      <c r="CE88" s="31">
        <v>0.86943164362519199</v>
      </c>
      <c r="CF88" s="31">
        <v>0.90880989180834626</v>
      </c>
      <c r="CG88" s="31">
        <v>0.8904109589041096</v>
      </c>
      <c r="CH88" s="31">
        <v>0.89156189964252641</v>
      </c>
      <c r="CI88" s="31">
        <v>0.8208333333333333</v>
      </c>
      <c r="CJ88" s="31">
        <v>0.85099846390168976</v>
      </c>
      <c r="CK88" s="31">
        <v>0.80586592178770955</v>
      </c>
      <c r="CL88" s="31">
        <v>0.87556904400606983</v>
      </c>
      <c r="CM88" s="31">
        <v>0.84848484848484851</v>
      </c>
      <c r="CN88" s="31">
        <v>0.8340248962655602</v>
      </c>
      <c r="CO88" s="31">
        <v>0.87052341597796146</v>
      </c>
      <c r="CP88" s="31">
        <v>0.84375713196531021</v>
      </c>
      <c r="CQ88" s="31">
        <v>0.90995260663507105</v>
      </c>
      <c r="CR88" s="31">
        <v>0.92356687898089174</v>
      </c>
      <c r="CS88" s="31">
        <v>0.8867924528301887</v>
      </c>
      <c r="CT88" s="31">
        <v>0.9122302158273381</v>
      </c>
      <c r="CU88" s="31">
        <v>0.96187175043327555</v>
      </c>
      <c r="CV88" s="31">
        <v>0.94907407407407407</v>
      </c>
      <c r="CW88" s="31">
        <v>0.92141756548536213</v>
      </c>
      <c r="CX88" s="31">
        <v>0.92355793489517146</v>
      </c>
      <c r="CY88" s="31">
        <v>0.87815750371471024</v>
      </c>
      <c r="CZ88" s="31">
        <v>0.9568965517241379</v>
      </c>
      <c r="DA88" s="31">
        <v>0.86809815950920244</v>
      </c>
      <c r="DB88" s="31">
        <v>0.82424242424242422</v>
      </c>
      <c r="DC88" s="31">
        <v>0.90193164933135217</v>
      </c>
      <c r="DD88" s="31">
        <v>0.9585121602288984</v>
      </c>
      <c r="DE88" s="31">
        <v>0.91408450704225352</v>
      </c>
      <c r="DF88" s="31">
        <v>0.90027470797042553</v>
      </c>
      <c r="DG88" s="31">
        <v>0.85022026431718056</v>
      </c>
      <c r="DH88" s="31">
        <v>0.87144992526158449</v>
      </c>
      <c r="DI88" s="31">
        <v>0.83259911894273131</v>
      </c>
      <c r="DJ88" s="31">
        <v>0.86201780415430262</v>
      </c>
      <c r="DK88" s="31">
        <v>0.83652430044182624</v>
      </c>
      <c r="DL88" s="31">
        <v>0.84398216939078752</v>
      </c>
      <c r="DM88" s="31">
        <v>0.86425339366515841</v>
      </c>
      <c r="DN88" s="31">
        <v>0.85157813945336724</v>
      </c>
      <c r="DO88" s="31">
        <v>0.78818443804034577</v>
      </c>
      <c r="DP88" s="31">
        <v>0.83571428571428574</v>
      </c>
      <c r="DQ88" s="31">
        <v>0.76959247648902818</v>
      </c>
      <c r="DR88" s="31">
        <v>0.80250783699059558</v>
      </c>
      <c r="DS88" s="31">
        <v>0.8092307692307692</v>
      </c>
      <c r="DT88" s="31">
        <v>0.82412790697674421</v>
      </c>
      <c r="DU88" s="31">
        <v>0.78809869375907116</v>
      </c>
      <c r="DV88" s="31">
        <v>0.80249377245726283</v>
      </c>
      <c r="DW88" s="31">
        <v>0.80267062314540061</v>
      </c>
      <c r="DX88" s="31">
        <v>0.80458015267175576</v>
      </c>
      <c r="DY88" s="31">
        <v>0.76911544227886053</v>
      </c>
      <c r="DZ88" s="31">
        <v>0.82270606531881807</v>
      </c>
      <c r="EA88" s="31">
        <v>0.86440677966101698</v>
      </c>
      <c r="EB88" s="31">
        <v>0.82448377581120946</v>
      </c>
      <c r="EC88" s="31">
        <v>0.77218934911242598</v>
      </c>
      <c r="ED88" s="31">
        <v>0.80859316971421247</v>
      </c>
      <c r="EE88" s="31">
        <v>0.80458015267175576</v>
      </c>
      <c r="EF88" s="31">
        <v>0.81503759398496245</v>
      </c>
      <c r="EG88" s="31">
        <v>0.75503875968992251</v>
      </c>
      <c r="EH88" s="31">
        <v>0.78391167192429023</v>
      </c>
      <c r="EI88" s="31">
        <v>0.82748091603053431</v>
      </c>
      <c r="EJ88" s="31">
        <v>0.83944954128440363</v>
      </c>
      <c r="EK88" s="31">
        <v>0.82272727272727275</v>
      </c>
      <c r="EL88" s="31">
        <v>0.80688941547330606</v>
      </c>
    </row>
    <row r="89" spans="38:142" x14ac:dyDescent="0.35">
      <c r="AL89" s="19" t="s">
        <v>136</v>
      </c>
      <c r="AM89" s="31">
        <v>0.64084507042253525</v>
      </c>
      <c r="AN89" s="31">
        <v>0.64084507042253525</v>
      </c>
      <c r="AO89" s="31">
        <v>0.57446808510638303</v>
      </c>
      <c r="AP89" s="31">
        <v>0.4861111111111111</v>
      </c>
      <c r="AQ89" s="31">
        <v>0.58450704225352113</v>
      </c>
      <c r="AR89" s="31">
        <v>0.58450704225352113</v>
      </c>
      <c r="AS89" s="31">
        <v>0.56428571428571428</v>
      </c>
      <c r="AT89" s="31">
        <v>0.58222416226504581</v>
      </c>
      <c r="AU89" s="31">
        <v>0.70422535211267601</v>
      </c>
      <c r="AV89" s="31">
        <v>0.46621621621621623</v>
      </c>
      <c r="AW89" s="31">
        <v>0.6028368794326241</v>
      </c>
      <c r="AX89" s="31">
        <v>0.52083333333333337</v>
      </c>
      <c r="AY89" s="31">
        <v>0.65734265734265729</v>
      </c>
      <c r="AZ89" s="31">
        <v>0.57746478873239437</v>
      </c>
      <c r="BA89" s="31">
        <v>0.56028368794326244</v>
      </c>
      <c r="BB89" s="31">
        <v>0.58417184501616626</v>
      </c>
      <c r="BC89" s="31">
        <v>0.56944444444444442</v>
      </c>
      <c r="BD89" s="31">
        <v>0.55172413793103448</v>
      </c>
      <c r="BE89" s="31">
        <v>0.58088235294117652</v>
      </c>
      <c r="BF89" s="31">
        <v>0.53521126760563376</v>
      </c>
      <c r="BG89" s="31">
        <v>0.53103448275862064</v>
      </c>
      <c r="BH89" s="31">
        <v>0.64335664335664333</v>
      </c>
      <c r="BI89" s="31">
        <v>0.57042253521126762</v>
      </c>
      <c r="BJ89" s="31">
        <v>0.56886798060697441</v>
      </c>
      <c r="BK89" s="31">
        <v>0.39655172413793105</v>
      </c>
      <c r="BL89" s="31">
        <v>0.5572519083969466</v>
      </c>
      <c r="BM89" s="31">
        <v>0.32786885245901637</v>
      </c>
      <c r="BN89" s="31">
        <v>0.4854368932038835</v>
      </c>
      <c r="BO89" s="31">
        <v>0.62931034482758619</v>
      </c>
      <c r="BP89" s="31">
        <v>0.64</v>
      </c>
      <c r="BQ89" s="31">
        <v>0.51127819548872178</v>
      </c>
      <c r="BR89" s="31">
        <v>0.50681398835915503</v>
      </c>
      <c r="BS89" s="31">
        <v>0.5043478260869565</v>
      </c>
      <c r="BT89" s="31">
        <v>0.5</v>
      </c>
      <c r="BU89" s="31">
        <v>0.54867256637168138</v>
      </c>
      <c r="BV89" s="31">
        <v>0.57264957264957261</v>
      </c>
      <c r="BW89" s="31">
        <v>0.51879699248120303</v>
      </c>
      <c r="BX89" s="31">
        <v>0.49579831932773111</v>
      </c>
      <c r="BY89" s="31">
        <v>0.51694915254237284</v>
      </c>
      <c r="BZ89" s="31">
        <v>0.52245920420850245</v>
      </c>
      <c r="CA89" s="31">
        <v>0.73484848484848486</v>
      </c>
      <c r="CB89" s="31">
        <v>0.47368421052631576</v>
      </c>
      <c r="CC89" s="31">
        <v>0.65925925925925921</v>
      </c>
      <c r="CD89" s="31">
        <v>0.60902255639097747</v>
      </c>
      <c r="CE89" s="31">
        <v>0.68548387096774188</v>
      </c>
      <c r="CF89" s="31">
        <v>0.54135338345864659</v>
      </c>
      <c r="CG89" s="31">
        <v>0.5968992248062015</v>
      </c>
      <c r="CH89" s="31">
        <v>0.614364427179661</v>
      </c>
      <c r="CI89" s="31">
        <v>0.79200000000000004</v>
      </c>
      <c r="CJ89" s="31">
        <v>0.70085470085470081</v>
      </c>
      <c r="CK89" s="31">
        <v>0.67625899280575541</v>
      </c>
      <c r="CL89" s="31">
        <v>0.59027777777777779</v>
      </c>
      <c r="CM89" s="31">
        <v>0.74100719424460426</v>
      </c>
      <c r="CN89" s="31">
        <v>0.62142857142857144</v>
      </c>
      <c r="CO89" s="31">
        <v>0.65771812080536918</v>
      </c>
      <c r="CP89" s="31">
        <v>0.6827921939881112</v>
      </c>
      <c r="CQ89" s="31">
        <v>0.72727272727272729</v>
      </c>
      <c r="CR89" s="31">
        <v>0.76</v>
      </c>
      <c r="CS89" s="31">
        <v>0.59712230215827333</v>
      </c>
      <c r="CT89" s="31">
        <v>0.55639097744360899</v>
      </c>
      <c r="CU89" s="31">
        <v>0.7021276595744681</v>
      </c>
      <c r="CV89" s="31">
        <v>0.6428571428571429</v>
      </c>
      <c r="CW89" s="31">
        <v>0.69285714285714284</v>
      </c>
      <c r="CX89" s="31">
        <v>0.66837542173762343</v>
      </c>
      <c r="CY89" s="31">
        <v>0.59701492537313428</v>
      </c>
      <c r="CZ89" s="31">
        <v>0.5864661654135338</v>
      </c>
      <c r="DA89" s="31">
        <v>0.63309352517985606</v>
      </c>
      <c r="DB89" s="31">
        <v>0.59712230215827333</v>
      </c>
      <c r="DC89" s="31">
        <v>0.5714285714285714</v>
      </c>
      <c r="DD89" s="31">
        <v>0.63571428571428568</v>
      </c>
      <c r="DE89" s="31">
        <v>0.70634920634920639</v>
      </c>
      <c r="DF89" s="31">
        <v>0.61816985451669448</v>
      </c>
      <c r="DG89" s="31">
        <v>0.78169014084507038</v>
      </c>
      <c r="DH89" s="31">
        <v>0.60447761194029848</v>
      </c>
      <c r="DI89" s="31">
        <v>0.68309859154929575</v>
      </c>
      <c r="DJ89" s="31">
        <v>0.65277777777777779</v>
      </c>
      <c r="DK89" s="31">
        <v>0.69565217391304346</v>
      </c>
      <c r="DL89" s="31">
        <v>0.67647058823529416</v>
      </c>
      <c r="DM89" s="31">
        <v>0.68794326241134751</v>
      </c>
      <c r="DN89" s="31">
        <v>0.68315859238173249</v>
      </c>
      <c r="DO89" s="31">
        <v>0.75555555555555554</v>
      </c>
      <c r="DP89" s="31">
        <v>0.66666666666666663</v>
      </c>
      <c r="DQ89" s="31">
        <v>0.6428571428571429</v>
      </c>
      <c r="DR89" s="31">
        <v>0.56834532374100721</v>
      </c>
      <c r="DS89" s="31">
        <v>0.68085106382978722</v>
      </c>
      <c r="DT89" s="31">
        <v>0.66447368421052633</v>
      </c>
      <c r="DU89" s="31">
        <v>0.7</v>
      </c>
      <c r="DV89" s="31">
        <v>0.66839277669438368</v>
      </c>
      <c r="DW89" s="31">
        <v>0.75</v>
      </c>
      <c r="DX89" s="31">
        <v>0.53623188405797106</v>
      </c>
      <c r="DY89" s="31">
        <v>0.64233576642335766</v>
      </c>
      <c r="DZ89" s="31">
        <v>0.68794326241134751</v>
      </c>
      <c r="EA89" s="31">
        <v>0.68309859154929575</v>
      </c>
      <c r="EB89" s="31">
        <v>0.61267605633802813</v>
      </c>
      <c r="EC89" s="31">
        <v>0.65</v>
      </c>
      <c r="ED89" s="31">
        <v>0.65175508011142858</v>
      </c>
      <c r="EE89" s="31">
        <v>0.69503546099290781</v>
      </c>
      <c r="EF89" s="31">
        <v>0.63829787234042556</v>
      </c>
      <c r="EG89" s="31">
        <v>0.66666666666666663</v>
      </c>
      <c r="EH89" s="31">
        <v>0.6</v>
      </c>
      <c r="EI89" s="31">
        <v>0.65248226950354615</v>
      </c>
      <c r="EJ89" s="31">
        <v>0.64539007092198586</v>
      </c>
      <c r="EK89" s="31">
        <v>0.61702127659574468</v>
      </c>
      <c r="EL89" s="31">
        <v>0.64498480243161094</v>
      </c>
    </row>
    <row r="90" spans="38:142" x14ac:dyDescent="0.35">
      <c r="AL90" s="19" t="s">
        <v>137</v>
      </c>
      <c r="AM90" s="31">
        <v>0.93135838150289019</v>
      </c>
      <c r="AN90" s="31">
        <v>0.93241279069767447</v>
      </c>
      <c r="AO90" s="31">
        <v>0.93604213694507143</v>
      </c>
      <c r="AP90" s="31">
        <v>0.92036063110443278</v>
      </c>
      <c r="AQ90" s="31">
        <v>0.9376359680928209</v>
      </c>
      <c r="AR90" s="31">
        <v>0.9441624365482234</v>
      </c>
      <c r="AS90" s="31">
        <v>0.9316363636363636</v>
      </c>
      <c r="AT90" s="31">
        <v>0.93337267264678236</v>
      </c>
      <c r="AU90" s="31">
        <v>0.91418181818181821</v>
      </c>
      <c r="AV90" s="31">
        <v>0.94996374184191446</v>
      </c>
      <c r="AW90" s="31">
        <v>0.92093373493975905</v>
      </c>
      <c r="AX90" s="31">
        <v>0.93684210526315792</v>
      </c>
      <c r="AY90" s="31">
        <v>0.94121915820029023</v>
      </c>
      <c r="AZ90" s="31">
        <v>0.95602018745493866</v>
      </c>
      <c r="BA90" s="31">
        <v>0.95441389290882783</v>
      </c>
      <c r="BB90" s="31">
        <v>0.9390820912558151</v>
      </c>
      <c r="BC90" s="31">
        <v>0.9690869877785766</v>
      </c>
      <c r="BD90" s="31">
        <v>0.95667870036101088</v>
      </c>
      <c r="BE90" s="31">
        <v>0.97374343585896472</v>
      </c>
      <c r="BF90" s="31">
        <v>0.97391952309985097</v>
      </c>
      <c r="BG90" s="31">
        <v>0.97054597701149425</v>
      </c>
      <c r="BH90" s="31">
        <v>0.96594202898550729</v>
      </c>
      <c r="BI90" s="31">
        <v>0.9690869877785766</v>
      </c>
      <c r="BJ90" s="31">
        <v>0.96842909155342582</v>
      </c>
      <c r="BK90" s="31">
        <v>0.87718023255813948</v>
      </c>
      <c r="BL90" s="31">
        <v>0.95965417867435154</v>
      </c>
      <c r="BM90" s="31">
        <v>0.8653122648607976</v>
      </c>
      <c r="BN90" s="31">
        <v>0.90443942814145972</v>
      </c>
      <c r="BO90" s="31">
        <v>0.93236363636363639</v>
      </c>
      <c r="BP90" s="31">
        <v>0.9557007988380537</v>
      </c>
      <c r="BQ90" s="31">
        <v>0.95896328293736499</v>
      </c>
      <c r="BR90" s="31">
        <v>0.92194483176768605</v>
      </c>
      <c r="BS90" s="31">
        <v>0.91279069767441856</v>
      </c>
      <c r="BT90" s="31">
        <v>0.92005813953488369</v>
      </c>
      <c r="BU90" s="31">
        <v>0.90368698269375469</v>
      </c>
      <c r="BV90" s="31">
        <v>0.91422121896162534</v>
      </c>
      <c r="BW90" s="31">
        <v>0.95441389290882783</v>
      </c>
      <c r="BX90" s="31">
        <v>0.94985465116279066</v>
      </c>
      <c r="BY90" s="31">
        <v>0.95227765726681124</v>
      </c>
      <c r="BZ90" s="31">
        <v>0.92961474860044457</v>
      </c>
      <c r="CA90" s="31">
        <v>0.94335511982570808</v>
      </c>
      <c r="CB90" s="31">
        <v>0.93871665465032439</v>
      </c>
      <c r="CC90" s="31">
        <v>0.92750373692077726</v>
      </c>
      <c r="CD90" s="31">
        <v>0.92400300978179084</v>
      </c>
      <c r="CE90" s="31">
        <v>0.96741491672700941</v>
      </c>
      <c r="CF90" s="31">
        <v>0.95857558139534882</v>
      </c>
      <c r="CG90" s="31">
        <v>0.94985465116279066</v>
      </c>
      <c r="CH90" s="31">
        <v>0.9442033814948213</v>
      </c>
      <c r="CI90" s="31">
        <v>0.8903413217138707</v>
      </c>
      <c r="CJ90" s="31">
        <v>0.94020172910662825</v>
      </c>
      <c r="CK90" s="31">
        <v>0.88412340105342357</v>
      </c>
      <c r="CL90" s="31">
        <v>0.88713318284424381</v>
      </c>
      <c r="CM90" s="31">
        <v>0.92151162790697672</v>
      </c>
      <c r="CN90" s="31">
        <v>0.94698620188816263</v>
      </c>
      <c r="CO90" s="31">
        <v>0.90790427846265409</v>
      </c>
      <c r="CP90" s="31">
        <v>0.91117167756799422</v>
      </c>
      <c r="CQ90" s="31">
        <v>0.94881038211968272</v>
      </c>
      <c r="CR90" s="31">
        <v>0.93459302325581395</v>
      </c>
      <c r="CS90" s="31">
        <v>0.94356659142212185</v>
      </c>
      <c r="CT90" s="31">
        <v>0.91647855530474043</v>
      </c>
      <c r="CU90" s="31">
        <v>0.92576419213973804</v>
      </c>
      <c r="CV90" s="31">
        <v>0.95428156748911463</v>
      </c>
      <c r="CW90" s="31">
        <v>0.93604651162790697</v>
      </c>
      <c r="CX90" s="31">
        <v>0.93707726047987394</v>
      </c>
      <c r="CY90" s="31">
        <v>0.94690909090909092</v>
      </c>
      <c r="CZ90" s="31">
        <v>0.92436363636363639</v>
      </c>
      <c r="DA90" s="31">
        <v>0.96012039127163284</v>
      </c>
      <c r="DB90" s="31">
        <v>0.93604213694507143</v>
      </c>
      <c r="DC90" s="31">
        <v>0.95199999999999996</v>
      </c>
      <c r="DD90" s="31">
        <v>0.94981818181818178</v>
      </c>
      <c r="DE90" s="31">
        <v>0.94181818181818178</v>
      </c>
      <c r="DF90" s="31">
        <v>0.94443880273225644</v>
      </c>
      <c r="DG90" s="31">
        <v>0.94173343044428259</v>
      </c>
      <c r="DH90" s="31">
        <v>0.94198694706308916</v>
      </c>
      <c r="DI90" s="31">
        <v>0.92760180995475117</v>
      </c>
      <c r="DJ90" s="31">
        <v>0.92626034612490593</v>
      </c>
      <c r="DK90" s="31">
        <v>0.95193008011653313</v>
      </c>
      <c r="DL90" s="31">
        <v>0.91497093023255816</v>
      </c>
      <c r="DM90" s="31">
        <v>0.96220930232558144</v>
      </c>
      <c r="DN90" s="31">
        <v>0.93809897803738607</v>
      </c>
      <c r="DO90" s="31">
        <v>0.92930029154518945</v>
      </c>
      <c r="DP90" s="31">
        <v>0.93449781659388642</v>
      </c>
      <c r="DQ90" s="31">
        <v>0.92307692307692313</v>
      </c>
      <c r="DR90" s="31">
        <v>0.91553544494720962</v>
      </c>
      <c r="DS90" s="31">
        <v>0.92929292929292928</v>
      </c>
      <c r="DT90" s="31">
        <v>0.94027676620538969</v>
      </c>
      <c r="DU90" s="31">
        <v>0.93818181818181823</v>
      </c>
      <c r="DV90" s="31">
        <v>0.93002314140619224</v>
      </c>
      <c r="DW90" s="31">
        <v>0.86080870917573871</v>
      </c>
      <c r="DX90" s="31">
        <v>0.87648456057007129</v>
      </c>
      <c r="DY90" s="31">
        <v>0.860610806577917</v>
      </c>
      <c r="DZ90" s="31">
        <v>0.86338797814207646</v>
      </c>
      <c r="EA90" s="31">
        <v>0.86304514154552414</v>
      </c>
      <c r="EB90" s="31">
        <v>0.86363636363636365</v>
      </c>
      <c r="EC90" s="31">
        <v>0.86546026750590088</v>
      </c>
      <c r="ED90" s="31">
        <v>0.86477626102194172</v>
      </c>
      <c r="EE90" s="31">
        <v>0.88375796178343946</v>
      </c>
      <c r="EF90" s="31">
        <v>0.88663017982799064</v>
      </c>
      <c r="EG90" s="31">
        <v>0.85635359116022103</v>
      </c>
      <c r="EH90" s="31">
        <v>0.86714975845410625</v>
      </c>
      <c r="EI90" s="31">
        <v>0.88713496448303075</v>
      </c>
      <c r="EJ90" s="31">
        <v>0.87931034482758619</v>
      </c>
      <c r="EK90" s="31">
        <v>0.8740219092331768</v>
      </c>
      <c r="EL90" s="31">
        <v>0.87633695853850735</v>
      </c>
    </row>
    <row r="91" spans="38:142" x14ac:dyDescent="0.35">
      <c r="AL91" s="19" t="s">
        <v>138</v>
      </c>
      <c r="AM91" s="31">
        <v>0.84670231729055256</v>
      </c>
      <c r="AN91" s="31">
        <v>0.78445229681978801</v>
      </c>
      <c r="AO91" s="31">
        <v>0.8676207513416816</v>
      </c>
      <c r="AP91" s="31">
        <v>0.83423423423423426</v>
      </c>
      <c r="AQ91" s="31">
        <v>0.87211367673179396</v>
      </c>
      <c r="AR91" s="31">
        <v>0.82060390763765545</v>
      </c>
      <c r="AS91" s="31">
        <v>0.84424778761061947</v>
      </c>
      <c r="AT91" s="31">
        <v>0.83856785309518933</v>
      </c>
      <c r="AU91" s="31">
        <v>0.89879931389365353</v>
      </c>
      <c r="AV91" s="31">
        <v>0.8922800718132855</v>
      </c>
      <c r="AW91" s="31">
        <v>0.84974093264248707</v>
      </c>
      <c r="AX91" s="31">
        <v>0.87348353552859614</v>
      </c>
      <c r="AY91" s="31">
        <v>0.91304347826086951</v>
      </c>
      <c r="AZ91" s="31">
        <v>0.89913043478260868</v>
      </c>
      <c r="BA91" s="31">
        <v>0.91681109185441945</v>
      </c>
      <c r="BB91" s="31">
        <v>0.89189840839655987</v>
      </c>
      <c r="BC91" s="31">
        <v>0.85268630849220106</v>
      </c>
      <c r="BD91" s="31">
        <v>0.84576271186440677</v>
      </c>
      <c r="BE91" s="31">
        <v>0.81411359724612742</v>
      </c>
      <c r="BF91" s="31">
        <v>0.82654867256637166</v>
      </c>
      <c r="BG91" s="31">
        <v>0.90361445783132532</v>
      </c>
      <c r="BH91" s="31">
        <v>0.90311418685121103</v>
      </c>
      <c r="BI91" s="31">
        <v>0.90657439446366783</v>
      </c>
      <c r="BJ91" s="31">
        <v>0.86463061847361578</v>
      </c>
      <c r="BK91" s="31">
        <v>0.63066202090592338</v>
      </c>
      <c r="BL91" s="31">
        <v>0.82393162393162389</v>
      </c>
      <c r="BM91" s="31">
        <v>0.68292682926829273</v>
      </c>
      <c r="BN91" s="31">
        <v>0.7526132404181185</v>
      </c>
      <c r="BO91" s="31">
        <v>0.75087108013937287</v>
      </c>
      <c r="BP91" s="31">
        <v>0.84455958549222798</v>
      </c>
      <c r="BQ91" s="31">
        <v>0.7857142857142857</v>
      </c>
      <c r="BR91" s="31">
        <v>0.75303980940997783</v>
      </c>
      <c r="BS91" s="31">
        <v>0.85892857142857137</v>
      </c>
      <c r="BT91" s="31">
        <v>0.91917293233082709</v>
      </c>
      <c r="BU91" s="31">
        <v>0.85563380281690138</v>
      </c>
      <c r="BV91" s="31">
        <v>0.89464285714285718</v>
      </c>
      <c r="BW91" s="31">
        <v>0.92035398230088494</v>
      </c>
      <c r="BX91" s="31">
        <v>0.8660714285714286</v>
      </c>
      <c r="BY91" s="31">
        <v>0.93031358885017423</v>
      </c>
      <c r="BZ91" s="31">
        <v>0.89215959477737783</v>
      </c>
      <c r="CA91" s="31">
        <v>0.85279187817258884</v>
      </c>
      <c r="CB91" s="31">
        <v>0.91161178509532059</v>
      </c>
      <c r="CC91" s="31">
        <v>0.87215411558668998</v>
      </c>
      <c r="CD91" s="31">
        <v>0.87366548042704628</v>
      </c>
      <c r="CE91" s="31">
        <v>0.90588235294117647</v>
      </c>
      <c r="CF91" s="31">
        <v>0.88415672913117549</v>
      </c>
      <c r="CG91" s="31">
        <v>0.89915966386554624</v>
      </c>
      <c r="CH91" s="31">
        <v>0.88563171503136362</v>
      </c>
      <c r="CI91" s="31">
        <v>0.86235489220563843</v>
      </c>
      <c r="CJ91" s="31">
        <v>0.91722972972972971</v>
      </c>
      <c r="CK91" s="31">
        <v>0.86736474694589882</v>
      </c>
      <c r="CL91" s="31">
        <v>0.91228070175438591</v>
      </c>
      <c r="CM91" s="31">
        <v>0.87541528239202659</v>
      </c>
      <c r="CN91" s="31">
        <v>0.90818030050083476</v>
      </c>
      <c r="CO91" s="31">
        <v>0.90484140233722876</v>
      </c>
      <c r="CP91" s="31">
        <v>0.89252386512367765</v>
      </c>
      <c r="CQ91" s="31">
        <v>0.92821368948247074</v>
      </c>
      <c r="CR91" s="31">
        <v>0.87853577371048253</v>
      </c>
      <c r="CS91" s="31">
        <v>0.90909090909090906</v>
      </c>
      <c r="CT91" s="31">
        <v>0.91766723842195541</v>
      </c>
      <c r="CU91" s="31">
        <v>0.90317195325542576</v>
      </c>
      <c r="CV91" s="31">
        <v>0.92881355932203391</v>
      </c>
      <c r="CW91" s="31">
        <v>0.89438943894389444</v>
      </c>
      <c r="CX91" s="31">
        <v>0.90855465174673888</v>
      </c>
      <c r="CY91" s="31">
        <v>0.85215946843853818</v>
      </c>
      <c r="CZ91" s="31">
        <v>0.91210613598673296</v>
      </c>
      <c r="DA91" s="31">
        <v>0.84254606365159124</v>
      </c>
      <c r="DB91" s="31">
        <v>0.85259631490787269</v>
      </c>
      <c r="DC91" s="31">
        <v>0.8758278145695364</v>
      </c>
      <c r="DD91" s="31">
        <v>0.93864013266998336</v>
      </c>
      <c r="DE91" s="31">
        <v>0.90381426202321724</v>
      </c>
      <c r="DF91" s="31">
        <v>0.88252717032106731</v>
      </c>
      <c r="DG91" s="31">
        <v>0.8716216216216216</v>
      </c>
      <c r="DH91" s="31">
        <v>0.88372093023255816</v>
      </c>
      <c r="DI91" s="31">
        <v>0.82586206896551728</v>
      </c>
      <c r="DJ91" s="31">
        <v>0.8128249566724437</v>
      </c>
      <c r="DK91" s="31">
        <v>0.83389261744966447</v>
      </c>
      <c r="DL91" s="31">
        <v>0.87644151565074135</v>
      </c>
      <c r="DM91" s="31">
        <v>0.8186356073211315</v>
      </c>
      <c r="DN91" s="31">
        <v>0.84614275970195396</v>
      </c>
      <c r="DO91" s="31">
        <v>0.78813559322033899</v>
      </c>
      <c r="DP91" s="31">
        <v>0.7956448911222781</v>
      </c>
      <c r="DQ91" s="31">
        <v>0.77079796264855682</v>
      </c>
      <c r="DR91" s="31">
        <v>0.78883071553228623</v>
      </c>
      <c r="DS91" s="31">
        <v>0.77013422818791943</v>
      </c>
      <c r="DT91" s="31">
        <v>0.82196339434276211</v>
      </c>
      <c r="DU91" s="31">
        <v>0.78868552412645587</v>
      </c>
      <c r="DV91" s="31">
        <v>0.78917032988294256</v>
      </c>
      <c r="DW91" s="31">
        <v>0.89482470784641066</v>
      </c>
      <c r="DX91" s="31">
        <v>0.81632653061224492</v>
      </c>
      <c r="DY91" s="31">
        <v>0.87521079258010115</v>
      </c>
      <c r="DZ91" s="31">
        <v>0.86846543001686338</v>
      </c>
      <c r="EA91" s="31">
        <v>0.86811352253756258</v>
      </c>
      <c r="EB91" s="31">
        <v>0.86722689075630255</v>
      </c>
      <c r="EC91" s="31">
        <v>0.88274706867671693</v>
      </c>
      <c r="ED91" s="31">
        <v>0.86755927757517171</v>
      </c>
      <c r="EE91" s="31">
        <v>0.85762144053601341</v>
      </c>
      <c r="EF91" s="31">
        <v>0.91932773109243693</v>
      </c>
      <c r="EG91" s="31">
        <v>0.86919104991394147</v>
      </c>
      <c r="EH91" s="31">
        <v>0.86746987951807231</v>
      </c>
      <c r="EI91" s="31">
        <v>0.90787269681742044</v>
      </c>
      <c r="EJ91" s="31">
        <v>0.90848585690515804</v>
      </c>
      <c r="EK91" s="31">
        <v>0.91014975041597335</v>
      </c>
      <c r="EL91" s="31">
        <v>0.89144548645700239</v>
      </c>
    </row>
    <row r="92" spans="38:142" x14ac:dyDescent="0.35">
      <c r="AL92" s="19" t="s">
        <v>139</v>
      </c>
      <c r="AM92" s="31">
        <v>0.80138888888888893</v>
      </c>
      <c r="AN92" s="31">
        <v>0.84738372093023251</v>
      </c>
      <c r="AO92" s="31">
        <v>0.76083916083916081</v>
      </c>
      <c r="AP92" s="31">
        <v>0.80309423347398035</v>
      </c>
      <c r="AQ92" s="31">
        <v>0.82608695652173914</v>
      </c>
      <c r="AR92" s="31">
        <v>0.82951289398280803</v>
      </c>
      <c r="AS92" s="31">
        <v>0.84517045454545459</v>
      </c>
      <c r="AT92" s="31">
        <v>0.816210901311752</v>
      </c>
      <c r="AU92" s="31">
        <v>0.83427762039660058</v>
      </c>
      <c r="AV92" s="31">
        <v>0.82913165266106448</v>
      </c>
      <c r="AW92" s="31">
        <v>0.836441893830703</v>
      </c>
      <c r="AX92" s="31">
        <v>0.85372714486638535</v>
      </c>
      <c r="AY92" s="31">
        <v>0.82743988684582748</v>
      </c>
      <c r="AZ92" s="31">
        <v>0.83776223776223779</v>
      </c>
      <c r="BA92" s="31">
        <v>0.83497884344146689</v>
      </c>
      <c r="BB92" s="31">
        <v>0.83625132568632654</v>
      </c>
      <c r="BC92" s="31">
        <v>0.81962481962481959</v>
      </c>
      <c r="BD92" s="31">
        <v>0.86770981507823608</v>
      </c>
      <c r="BE92" s="31">
        <v>0.80428571428571427</v>
      </c>
      <c r="BF92" s="31">
        <v>0.8437956204379562</v>
      </c>
      <c r="BG92" s="31">
        <v>0.8356940509915014</v>
      </c>
      <c r="BH92" s="31">
        <v>0.844851904090268</v>
      </c>
      <c r="BI92" s="31">
        <v>0.84308131241084161</v>
      </c>
      <c r="BJ92" s="31">
        <v>0.83700617670276256</v>
      </c>
      <c r="BK92" s="31">
        <v>0.64391691394658757</v>
      </c>
      <c r="BL92" s="31">
        <v>0.85358711566617862</v>
      </c>
      <c r="BM92" s="31">
        <v>0.68815592203898046</v>
      </c>
      <c r="BN92" s="31">
        <v>0.71982758620689657</v>
      </c>
      <c r="BO92" s="31">
        <v>0.74328358208955225</v>
      </c>
      <c r="BP92" s="31">
        <v>0.81737849779086891</v>
      </c>
      <c r="BQ92" s="31">
        <v>0.80505952380952384</v>
      </c>
      <c r="BR92" s="31">
        <v>0.75302987736408411</v>
      </c>
      <c r="BS92" s="31">
        <v>0.7872044506258693</v>
      </c>
      <c r="BT92" s="31">
        <v>0.75071225071225067</v>
      </c>
      <c r="BU92" s="31">
        <v>0.82885431400282883</v>
      </c>
      <c r="BV92" s="31">
        <v>0.85572842998585574</v>
      </c>
      <c r="BW92" s="31">
        <v>0.85794655414908583</v>
      </c>
      <c r="BX92" s="31">
        <v>0.8070422535211268</v>
      </c>
      <c r="BY92" s="31">
        <v>0.83757062146892658</v>
      </c>
      <c r="BZ92" s="31">
        <v>0.81786555349513468</v>
      </c>
      <c r="CA92" s="31">
        <v>0.79483695652173914</v>
      </c>
      <c r="CB92" s="31">
        <v>0.88826025459688829</v>
      </c>
      <c r="CC92" s="31">
        <v>0.77537212449255755</v>
      </c>
      <c r="CD92" s="31">
        <v>0.79452054794520544</v>
      </c>
      <c r="CE92" s="31">
        <v>0.82273342354533152</v>
      </c>
      <c r="CF92" s="31">
        <v>0.8502024291497976</v>
      </c>
      <c r="CG92" s="31">
        <v>0.8472972972972973</v>
      </c>
      <c r="CH92" s="31">
        <v>0.82474614764983101</v>
      </c>
      <c r="CI92" s="31">
        <v>0.83720930232558144</v>
      </c>
      <c r="CJ92" s="31">
        <v>0.8136054421768707</v>
      </c>
      <c r="CK92" s="31">
        <v>0.79972375690607733</v>
      </c>
      <c r="CL92" s="31">
        <v>0.8166894664842681</v>
      </c>
      <c r="CM92" s="31">
        <v>0.84404924760601918</v>
      </c>
      <c r="CN92" s="31">
        <v>0.80566801619433204</v>
      </c>
      <c r="CO92" s="31">
        <v>0.82234185733512788</v>
      </c>
      <c r="CP92" s="31">
        <v>0.81989815557546819</v>
      </c>
      <c r="CQ92" s="31">
        <v>0.83701657458563539</v>
      </c>
      <c r="CR92" s="31">
        <v>0.86452513966480449</v>
      </c>
      <c r="CS92" s="31">
        <v>0.80273972602739729</v>
      </c>
      <c r="CT92" s="31">
        <v>0.87047353760445678</v>
      </c>
      <c r="CU92" s="31">
        <v>0.86111111111111116</v>
      </c>
      <c r="CV92" s="31">
        <v>0.87517337031900144</v>
      </c>
      <c r="CW92" s="31">
        <v>0.86395511921458623</v>
      </c>
      <c r="CX92" s="31">
        <v>0.85357065407528476</v>
      </c>
      <c r="CY92" s="31">
        <v>0.81868898186889816</v>
      </c>
      <c r="CZ92" s="31">
        <v>0.88275862068965516</v>
      </c>
      <c r="DA92" s="31">
        <v>0.78631284916201116</v>
      </c>
      <c r="DB92" s="31">
        <v>0.81073446327683618</v>
      </c>
      <c r="DC92" s="31">
        <v>0.83286908077994426</v>
      </c>
      <c r="DD92" s="31">
        <v>0.87465564738292012</v>
      </c>
      <c r="DE92" s="31">
        <v>0.8550135501355014</v>
      </c>
      <c r="DF92" s="31">
        <v>0.83729045618510956</v>
      </c>
      <c r="DG92" s="31">
        <v>0.77840909090909094</v>
      </c>
      <c r="DH92" s="31">
        <v>0.83287292817679559</v>
      </c>
      <c r="DI92" s="31">
        <v>0.76988636363636365</v>
      </c>
      <c r="DJ92" s="31">
        <v>0.7923728813559322</v>
      </c>
      <c r="DK92" s="31">
        <v>0.81365576102418202</v>
      </c>
      <c r="DL92" s="31">
        <v>0.82499999999999996</v>
      </c>
      <c r="DM92" s="31">
        <v>0.8134642356241234</v>
      </c>
      <c r="DN92" s="31">
        <v>0.8036658943894982</v>
      </c>
      <c r="DO92" s="31">
        <v>0.75458392101551486</v>
      </c>
      <c r="DP92" s="31">
        <v>0.82719546742209626</v>
      </c>
      <c r="DQ92" s="31">
        <v>0.73943661971830987</v>
      </c>
      <c r="DR92" s="31">
        <v>0.77777777777777779</v>
      </c>
      <c r="DS92" s="31">
        <v>0.77934936350777939</v>
      </c>
      <c r="DT92" s="31">
        <v>0.8262108262108262</v>
      </c>
      <c r="DU92" s="31">
        <v>0.79658605974395447</v>
      </c>
      <c r="DV92" s="31">
        <v>0.78587714791375129</v>
      </c>
      <c r="DW92" s="31">
        <v>0.8205841446453408</v>
      </c>
      <c r="DX92" s="31">
        <v>0.8267605633802817</v>
      </c>
      <c r="DY92" s="31">
        <v>0.80524861878453036</v>
      </c>
      <c r="DZ92" s="31">
        <v>0.85228951255539143</v>
      </c>
      <c r="EA92" s="31">
        <v>0.8263305322128851</v>
      </c>
      <c r="EB92" s="31">
        <v>0.8471428571428572</v>
      </c>
      <c r="EC92" s="31">
        <v>0.83169705469845723</v>
      </c>
      <c r="ED92" s="31">
        <v>0.83000761191710626</v>
      </c>
      <c r="EE92" s="31">
        <v>0.78146611341632088</v>
      </c>
      <c r="EF92" s="31">
        <v>0.82361111111111107</v>
      </c>
      <c r="EG92" s="31">
        <v>0.75900277008310246</v>
      </c>
      <c r="EH92" s="31">
        <v>0.78817056396148555</v>
      </c>
      <c r="EI92" s="31">
        <v>0.7936288088642659</v>
      </c>
      <c r="EJ92" s="31">
        <v>0.8477653631284916</v>
      </c>
      <c r="EK92" s="31">
        <v>0.8024861878453039</v>
      </c>
      <c r="EL92" s="31">
        <v>0.79944727405858307</v>
      </c>
    </row>
    <row r="93" spans="38:142" x14ac:dyDescent="0.35">
      <c r="AL93" s="19" t="s">
        <v>436</v>
      </c>
      <c r="AM93" s="31">
        <v>0.83606557377049184</v>
      </c>
      <c r="AN93" s="31">
        <v>0.83156028368794321</v>
      </c>
      <c r="AO93" s="31">
        <v>0.85157699443413726</v>
      </c>
      <c r="AP93" s="31">
        <v>0.85457809694793541</v>
      </c>
      <c r="AQ93" s="31">
        <v>0.83422459893048129</v>
      </c>
      <c r="AR93" s="31">
        <v>0.83600713012477723</v>
      </c>
      <c r="AS93" s="31">
        <v>0.8528368794326241</v>
      </c>
      <c r="AT93" s="31">
        <v>0.84240707961834149</v>
      </c>
      <c r="AU93" s="31">
        <v>0.88475177304964536</v>
      </c>
      <c r="AV93" s="31">
        <v>0.87835420393559926</v>
      </c>
      <c r="AW93" s="31">
        <v>0.88709677419354838</v>
      </c>
      <c r="AX93" s="31">
        <v>0.90794223826714804</v>
      </c>
      <c r="AY93" s="31">
        <v>0.85061511423550085</v>
      </c>
      <c r="AZ93" s="31">
        <v>0.89184397163120566</v>
      </c>
      <c r="BA93" s="31">
        <v>0.86467486818980666</v>
      </c>
      <c r="BB93" s="31">
        <v>0.88075413478606479</v>
      </c>
      <c r="BC93" s="31">
        <v>0.85664939550949915</v>
      </c>
      <c r="BD93" s="31">
        <v>0.9042553191489362</v>
      </c>
      <c r="BE93" s="31">
        <v>0.82311733800350262</v>
      </c>
      <c r="BF93" s="31">
        <v>0.84330985915492962</v>
      </c>
      <c r="BG93" s="31">
        <v>0.9015544041450777</v>
      </c>
      <c r="BH93" s="31">
        <v>0.91335740072202165</v>
      </c>
      <c r="BI93" s="31">
        <v>0.88848920863309355</v>
      </c>
      <c r="BJ93" s="31">
        <v>0.87581898933100855</v>
      </c>
      <c r="BK93" s="31">
        <v>0.76058931860036827</v>
      </c>
      <c r="BL93" s="31">
        <v>0.87654320987654322</v>
      </c>
      <c r="BM93" s="31">
        <v>0.77798507462686572</v>
      </c>
      <c r="BN93" s="31">
        <v>0.87762906309751432</v>
      </c>
      <c r="BO93" s="31">
        <v>0.83063063063063058</v>
      </c>
      <c r="BP93" s="31">
        <v>0.87852112676056338</v>
      </c>
      <c r="BQ93" s="31">
        <v>0.87102473498233213</v>
      </c>
      <c r="BR93" s="31">
        <v>0.83898902265354536</v>
      </c>
      <c r="BS93" s="31">
        <v>0.83910034602076122</v>
      </c>
      <c r="BT93" s="31">
        <v>0.93320964749536173</v>
      </c>
      <c r="BU93" s="31">
        <v>0.88428324697754745</v>
      </c>
      <c r="BV93" s="31">
        <v>0.91794871794871791</v>
      </c>
      <c r="BW93" s="31">
        <v>0.9106529209621993</v>
      </c>
      <c r="BX93" s="31">
        <v>0.94306049822064053</v>
      </c>
      <c r="BY93" s="31">
        <v>0.95042735042735038</v>
      </c>
      <c r="BZ93" s="31">
        <v>0.911240389721797</v>
      </c>
      <c r="CA93" s="31">
        <v>0.90186125211505919</v>
      </c>
      <c r="CB93" s="31">
        <v>0.91032148900169207</v>
      </c>
      <c r="CC93" s="31">
        <v>0.86509274873524455</v>
      </c>
      <c r="CD93" s="31">
        <v>0.88519134775374375</v>
      </c>
      <c r="CE93" s="31">
        <v>0.91652754590984975</v>
      </c>
      <c r="CF93" s="31">
        <v>0.91722972972972971</v>
      </c>
      <c r="CG93" s="31">
        <v>0.91539763113367179</v>
      </c>
      <c r="CH93" s="31">
        <v>0.90166024919699872</v>
      </c>
      <c r="CI93" s="31">
        <v>0.89273927392739272</v>
      </c>
      <c r="CJ93" s="31">
        <v>0.89456342668863265</v>
      </c>
      <c r="CK93" s="31">
        <v>0.81697171381031619</v>
      </c>
      <c r="CL93" s="31">
        <v>0.86287625418060199</v>
      </c>
      <c r="CM93" s="31">
        <v>0.89579831932773113</v>
      </c>
      <c r="CN93" s="31">
        <v>0.90743801652892564</v>
      </c>
      <c r="CO93" s="31">
        <v>0.89261744966442957</v>
      </c>
      <c r="CP93" s="31">
        <v>0.88042920773257571</v>
      </c>
      <c r="CQ93" s="31">
        <v>0.87223168654173766</v>
      </c>
      <c r="CR93" s="31">
        <v>0.88344594594594594</v>
      </c>
      <c r="CS93" s="31">
        <v>0.84693877551020413</v>
      </c>
      <c r="CT93" s="31">
        <v>0.8534923339011925</v>
      </c>
      <c r="CU93" s="31">
        <v>0.90582191780821919</v>
      </c>
      <c r="CV93" s="31">
        <v>0.88926174496644295</v>
      </c>
      <c r="CW93" s="31">
        <v>0.88087248322147649</v>
      </c>
      <c r="CX93" s="31">
        <v>0.87600926969931681</v>
      </c>
      <c r="CY93" s="31">
        <v>0.86620926243567753</v>
      </c>
      <c r="CZ93" s="31">
        <v>0.85102739726027399</v>
      </c>
      <c r="DA93" s="31">
        <v>0.84210526315789469</v>
      </c>
      <c r="DB93" s="31">
        <v>0.84210526315789469</v>
      </c>
      <c r="DC93" s="31">
        <v>0.86440677966101698</v>
      </c>
      <c r="DD93" s="31">
        <v>0.88194444444444442</v>
      </c>
      <c r="DE93" s="31">
        <v>0.89005235602094246</v>
      </c>
      <c r="DF93" s="31">
        <v>0.86255010944830635</v>
      </c>
      <c r="DG93" s="31">
        <v>0.87583892617449666</v>
      </c>
      <c r="DH93" s="31">
        <v>0.88983050847457623</v>
      </c>
      <c r="DI93" s="31">
        <v>0.88981636060100167</v>
      </c>
      <c r="DJ93" s="31">
        <v>0.86611570247933889</v>
      </c>
      <c r="DK93" s="31">
        <v>0.8504065040650407</v>
      </c>
      <c r="DL93" s="31">
        <v>0.87183811129848232</v>
      </c>
      <c r="DM93" s="31">
        <v>0.86432160804020097</v>
      </c>
      <c r="DN93" s="31">
        <v>0.87259538873330544</v>
      </c>
      <c r="DO93" s="31">
        <v>0.88743882544861341</v>
      </c>
      <c r="DP93" s="31">
        <v>0.89273927392739272</v>
      </c>
      <c r="DQ93" s="31">
        <v>0.86842105263157898</v>
      </c>
      <c r="DR93" s="31">
        <v>0.85924713584288048</v>
      </c>
      <c r="DS93" s="31">
        <v>0.86699507389162567</v>
      </c>
      <c r="DT93" s="31">
        <v>0.8833333333333333</v>
      </c>
      <c r="DU93" s="31">
        <v>0.86863711001642041</v>
      </c>
      <c r="DV93" s="31">
        <v>0.87525882929883481</v>
      </c>
      <c r="DW93" s="31">
        <v>0.91572123176661269</v>
      </c>
      <c r="DX93" s="31">
        <v>0.89700996677740863</v>
      </c>
      <c r="DY93" s="31">
        <v>0.88743882544861341</v>
      </c>
      <c r="DZ93" s="31">
        <v>0.87034035656401942</v>
      </c>
      <c r="EA93" s="31">
        <v>0.90879478827361559</v>
      </c>
      <c r="EB93" s="31">
        <v>0.89158576051779936</v>
      </c>
      <c r="EC93" s="31">
        <v>0.88006482982171796</v>
      </c>
      <c r="ED93" s="31">
        <v>0.89299367988139811</v>
      </c>
      <c r="EE93" s="31">
        <v>0.86764705882352944</v>
      </c>
      <c r="EF93" s="31">
        <v>0.89337641357027464</v>
      </c>
      <c r="EG93" s="31">
        <v>0.84288052373158762</v>
      </c>
      <c r="EH93" s="31">
        <v>0.81322314049586775</v>
      </c>
      <c r="EI93" s="31">
        <v>0.89885807504078308</v>
      </c>
      <c r="EJ93" s="31">
        <v>0.90016366612111298</v>
      </c>
      <c r="EK93" s="31">
        <v>0.87275693311582381</v>
      </c>
      <c r="EL93" s="31">
        <v>0.8698436872712827</v>
      </c>
    </row>
    <row r="94" spans="38:142" x14ac:dyDescent="0.35">
      <c r="AL94" s="19" t="s">
        <v>140</v>
      </c>
      <c r="AM94" s="31">
        <v>0.82525510204081631</v>
      </c>
      <c r="AN94" s="31">
        <v>0.79973992197659294</v>
      </c>
      <c r="AO94" s="31">
        <v>0.77890724269377387</v>
      </c>
      <c r="AP94" s="31">
        <v>0.79713914174252276</v>
      </c>
      <c r="AQ94" s="31">
        <v>0.84555984555984554</v>
      </c>
      <c r="AR94" s="31">
        <v>0.82352941176470584</v>
      </c>
      <c r="AS94" s="31">
        <v>0.85456885456885456</v>
      </c>
      <c r="AT94" s="31">
        <v>0.81781421719244463</v>
      </c>
      <c r="AU94" s="31">
        <v>0.82002706359945876</v>
      </c>
      <c r="AV94" s="31">
        <v>0.82762991128010144</v>
      </c>
      <c r="AW94" s="31">
        <v>0.80402684563758386</v>
      </c>
      <c r="AX94" s="31">
        <v>0.77897574123989222</v>
      </c>
      <c r="AY94" s="31">
        <v>0.81568088033012376</v>
      </c>
      <c r="AZ94" s="31">
        <v>0.80604534005037787</v>
      </c>
      <c r="BA94" s="31">
        <v>0.79972936400541272</v>
      </c>
      <c r="BB94" s="31">
        <v>0.80744502087756431</v>
      </c>
      <c r="BC94" s="31">
        <v>0.83687002652519893</v>
      </c>
      <c r="BD94" s="31">
        <v>0.82125000000000004</v>
      </c>
      <c r="BE94" s="31">
        <v>0.80345285524568388</v>
      </c>
      <c r="BF94" s="31">
        <v>0.79002624671916011</v>
      </c>
      <c r="BG94" s="31">
        <v>0.81898734177215193</v>
      </c>
      <c r="BH94" s="31">
        <v>0.82559598494353825</v>
      </c>
      <c r="BI94" s="31">
        <v>0.85677749360613809</v>
      </c>
      <c r="BJ94" s="31">
        <v>0.8218514212588387</v>
      </c>
      <c r="BK94" s="31">
        <v>0.615485564304462</v>
      </c>
      <c r="BL94" s="31">
        <v>0.8229854689564069</v>
      </c>
      <c r="BM94" s="31">
        <v>0.62435233160621761</v>
      </c>
      <c r="BN94" s="31">
        <v>0.67847769028871396</v>
      </c>
      <c r="BO94" s="31">
        <v>0.71038961038961035</v>
      </c>
      <c r="BP94" s="31">
        <v>0.8271276595744681</v>
      </c>
      <c r="BQ94" s="31">
        <v>0.76832460732984298</v>
      </c>
      <c r="BR94" s="31">
        <v>0.72102041892138879</v>
      </c>
      <c r="BS94" s="31">
        <v>0.78497409326424872</v>
      </c>
      <c r="BT94" s="31">
        <v>0.73521505376344087</v>
      </c>
      <c r="BU94" s="31">
        <v>0.77448453608247425</v>
      </c>
      <c r="BV94" s="31">
        <v>0.79612903225806453</v>
      </c>
      <c r="BW94" s="31">
        <v>0.79150579150579148</v>
      </c>
      <c r="BX94" s="31">
        <v>0.77526595744680848</v>
      </c>
      <c r="BY94" s="31">
        <v>0.79893475366178424</v>
      </c>
      <c r="BZ94" s="31">
        <v>0.77950131685465884</v>
      </c>
      <c r="CA94" s="31">
        <v>0.82651796778190834</v>
      </c>
      <c r="CB94" s="31">
        <v>0.83587786259541985</v>
      </c>
      <c r="CC94" s="31">
        <v>0.79773869346733672</v>
      </c>
      <c r="CD94" s="31">
        <v>0.77791563275434239</v>
      </c>
      <c r="CE94" s="31">
        <v>0.81829419035846729</v>
      </c>
      <c r="CF94" s="31">
        <v>0.83984867591424972</v>
      </c>
      <c r="CG94" s="31">
        <v>0.84059775840597761</v>
      </c>
      <c r="CH94" s="31">
        <v>0.81954154018252889</v>
      </c>
      <c r="CI94" s="31">
        <v>0.84526854219948844</v>
      </c>
      <c r="CJ94" s="31">
        <v>0.81602002503128912</v>
      </c>
      <c r="CK94" s="31">
        <v>0.79365079365079361</v>
      </c>
      <c r="CL94" s="31">
        <v>0.79602649006622517</v>
      </c>
      <c r="CM94" s="31">
        <v>0.82810539523212046</v>
      </c>
      <c r="CN94" s="31">
        <v>0.83544303797468356</v>
      </c>
      <c r="CO94" s="31">
        <v>0.82981366459627326</v>
      </c>
      <c r="CP94" s="31">
        <v>0.82061827839298196</v>
      </c>
      <c r="CQ94" s="31">
        <v>0.82290279627163787</v>
      </c>
      <c r="CR94" s="31">
        <v>0.82995951417004044</v>
      </c>
      <c r="CS94" s="31">
        <v>0.80216802168021684</v>
      </c>
      <c r="CT94" s="31">
        <v>0.80540540540540539</v>
      </c>
      <c r="CU94" s="31">
        <v>0.78899082568807344</v>
      </c>
      <c r="CV94" s="31">
        <v>0.82201086956521741</v>
      </c>
      <c r="CW94" s="31">
        <v>0.84174624829467937</v>
      </c>
      <c r="CX94" s="31">
        <v>0.81616909729646725</v>
      </c>
      <c r="CY94" s="31">
        <v>0.78473091364205261</v>
      </c>
      <c r="CZ94" s="31">
        <v>0.78023407022106628</v>
      </c>
      <c r="DA94" s="31">
        <v>0.79314720812182737</v>
      </c>
      <c r="DB94" s="31">
        <v>0.75631313131313127</v>
      </c>
      <c r="DC94" s="31">
        <v>0.82522996057818665</v>
      </c>
      <c r="DD94" s="31">
        <v>0.79182630906768836</v>
      </c>
      <c r="DE94" s="31">
        <v>0.79139504563233376</v>
      </c>
      <c r="DF94" s="31">
        <v>0.78898237693946949</v>
      </c>
      <c r="DG94" s="31">
        <v>0.78</v>
      </c>
      <c r="DH94" s="31">
        <v>0.79923273657289007</v>
      </c>
      <c r="DI94" s="31">
        <v>0.75502512562814073</v>
      </c>
      <c r="DJ94" s="31">
        <v>0.73341677096370461</v>
      </c>
      <c r="DK94" s="31">
        <v>0.77204030226700249</v>
      </c>
      <c r="DL94" s="31">
        <v>0.80649350649350648</v>
      </c>
      <c r="DM94" s="31">
        <v>0.8130718954248366</v>
      </c>
      <c r="DN94" s="31">
        <v>0.77989719105001143</v>
      </c>
      <c r="DO94" s="31">
        <v>0.77233782129742967</v>
      </c>
      <c r="DP94" s="31">
        <v>0.76679340937896068</v>
      </c>
      <c r="DQ94" s="31">
        <v>0.80228136882129275</v>
      </c>
      <c r="DR94" s="31">
        <v>0.8045397225725095</v>
      </c>
      <c r="DS94" s="31">
        <v>0.76629766297662971</v>
      </c>
      <c r="DT94" s="31">
        <v>0.78653113087674709</v>
      </c>
      <c r="DU94" s="31">
        <v>0.79665379665379665</v>
      </c>
      <c r="DV94" s="31">
        <v>0.78506213036819517</v>
      </c>
      <c r="DW94" s="31">
        <v>0.81351689612015021</v>
      </c>
      <c r="DX94" s="31">
        <v>0.83291457286432158</v>
      </c>
      <c r="DY94" s="31">
        <v>0.79724655819774715</v>
      </c>
      <c r="DZ94" s="31">
        <v>0.81273408239700373</v>
      </c>
      <c r="EA94" s="31">
        <v>0.8007518796992481</v>
      </c>
      <c r="EB94" s="31">
        <v>0.82070707070707072</v>
      </c>
      <c r="EC94" s="31">
        <v>0.8107098381070984</v>
      </c>
      <c r="ED94" s="31">
        <v>0.81265441401323435</v>
      </c>
      <c r="EE94" s="31">
        <v>0.79365079365079361</v>
      </c>
      <c r="EF94" s="31">
        <v>0.83002481389578164</v>
      </c>
      <c r="EG94" s="31">
        <v>0.77395577395577397</v>
      </c>
      <c r="EH94" s="31">
        <v>0.77111383108935128</v>
      </c>
      <c r="EI94" s="31">
        <v>0.80981595092024539</v>
      </c>
      <c r="EJ94" s="31">
        <v>0.82779827798277983</v>
      </c>
      <c r="EK94" s="31">
        <v>0.82453987730061351</v>
      </c>
      <c r="EL94" s="31">
        <v>0.80441418839933398</v>
      </c>
    </row>
    <row r="95" spans="38:142" x14ac:dyDescent="0.35">
      <c r="AL95" s="19" t="s">
        <v>290</v>
      </c>
      <c r="AM95" s="31">
        <v>0.77663934426229508</v>
      </c>
      <c r="AN95" s="31">
        <v>0.74797570850202433</v>
      </c>
      <c r="AO95" s="31">
        <v>0.75433231396534151</v>
      </c>
      <c r="AP95" s="31">
        <v>0.76156217882836585</v>
      </c>
      <c r="AQ95" s="31">
        <v>0.77376033057851235</v>
      </c>
      <c r="AR95" s="31">
        <v>0.76734693877551019</v>
      </c>
      <c r="AS95" s="31">
        <v>0.75617283950617287</v>
      </c>
      <c r="AT95" s="31">
        <v>0.76254137920260323</v>
      </c>
      <c r="AU95" s="31">
        <v>0.80903490759753593</v>
      </c>
      <c r="AV95" s="31">
        <v>0.79086294416243652</v>
      </c>
      <c r="AW95" s="31">
        <v>0.79456193353474325</v>
      </c>
      <c r="AX95" s="31">
        <v>0.80842527582748247</v>
      </c>
      <c r="AY95" s="31">
        <v>0.78636826042726349</v>
      </c>
      <c r="AZ95" s="31">
        <v>0.81533804238143293</v>
      </c>
      <c r="BA95" s="31">
        <v>0.821105527638191</v>
      </c>
      <c r="BB95" s="31">
        <v>0.8036709845098694</v>
      </c>
      <c r="BC95" s="31">
        <v>0.77454909819639284</v>
      </c>
      <c r="BD95" s="31">
        <v>0.84031936127744511</v>
      </c>
      <c r="BE95" s="31">
        <v>0.73197969543147212</v>
      </c>
      <c r="BF95" s="31">
        <v>0.74006116207951067</v>
      </c>
      <c r="BG95" s="31">
        <v>0.81069958847736623</v>
      </c>
      <c r="BH95" s="31">
        <v>0.83964143426294824</v>
      </c>
      <c r="BI95" s="31">
        <v>0.84560327198364005</v>
      </c>
      <c r="BJ95" s="31">
        <v>0.79755051595839643</v>
      </c>
      <c r="BK95" s="31">
        <v>0.63503649635036497</v>
      </c>
      <c r="BL95" s="31">
        <v>0.78984771573604062</v>
      </c>
      <c r="BM95" s="31">
        <v>0.70335429769392033</v>
      </c>
      <c r="BN95" s="31">
        <v>0.76332622601279321</v>
      </c>
      <c r="BO95" s="31">
        <v>0.74713839750260147</v>
      </c>
      <c r="BP95" s="31">
        <v>0.79154078549848939</v>
      </c>
      <c r="BQ95" s="31">
        <v>0.78556910569105687</v>
      </c>
      <c r="BR95" s="31">
        <v>0.74511614635503809</v>
      </c>
      <c r="BS95" s="31">
        <v>0.77040816326530615</v>
      </c>
      <c r="BT95" s="31">
        <v>0.79958677685950408</v>
      </c>
      <c r="BU95" s="31">
        <v>0.78093306288032449</v>
      </c>
      <c r="BV95" s="31">
        <v>0.80423814328960641</v>
      </c>
      <c r="BW95" s="31">
        <v>0.80263157894736847</v>
      </c>
      <c r="BX95" s="31">
        <v>0.80061664953751288</v>
      </c>
      <c r="BY95" s="31">
        <v>0.80261832829808666</v>
      </c>
      <c r="BZ95" s="31">
        <v>0.79443324329681564</v>
      </c>
      <c r="CA95" s="31">
        <v>0.82522343594836145</v>
      </c>
      <c r="CB95" s="31">
        <v>0.78698224852071008</v>
      </c>
      <c r="CC95" s="31">
        <v>0.80900000000000005</v>
      </c>
      <c r="CD95" s="31">
        <v>0.79783037475345164</v>
      </c>
      <c r="CE95" s="31">
        <v>0.83611383709519138</v>
      </c>
      <c r="CF95" s="31">
        <v>0.82452642073778659</v>
      </c>
      <c r="CG95" s="31">
        <v>0.81521739130434778</v>
      </c>
      <c r="CH95" s="31">
        <v>0.81355624405140692</v>
      </c>
      <c r="CI95" s="31">
        <v>0.7529296875</v>
      </c>
      <c r="CJ95" s="31">
        <v>0.82163742690058483</v>
      </c>
      <c r="CK95" s="31">
        <v>0.75275275275275277</v>
      </c>
      <c r="CL95" s="31">
        <v>0.77254509018036077</v>
      </c>
      <c r="CM95" s="31">
        <v>0.78895463510848129</v>
      </c>
      <c r="CN95" s="31">
        <v>0.8154296875</v>
      </c>
      <c r="CO95" s="31">
        <v>0.80739299610894943</v>
      </c>
      <c r="CP95" s="31">
        <v>0.78737746800730424</v>
      </c>
      <c r="CQ95" s="31">
        <v>0.77089478859390359</v>
      </c>
      <c r="CR95" s="31">
        <v>0.80327868852459017</v>
      </c>
      <c r="CS95" s="31">
        <v>0.76251226692836116</v>
      </c>
      <c r="CT95" s="31">
        <v>0.75073028237585204</v>
      </c>
      <c r="CU95" s="31">
        <v>0.79520479520479526</v>
      </c>
      <c r="CV95" s="31">
        <v>0.79224652087475145</v>
      </c>
      <c r="CW95" s="31">
        <v>0.81991951710261568</v>
      </c>
      <c r="CX95" s="31">
        <v>0.78496955137212421</v>
      </c>
      <c r="CY95" s="31">
        <v>0.79166666666666663</v>
      </c>
      <c r="CZ95" s="31">
        <v>0.80985221674876851</v>
      </c>
      <c r="DA95" s="31">
        <v>0.77532597793380142</v>
      </c>
      <c r="DB95" s="31">
        <v>0.76266137040714999</v>
      </c>
      <c r="DC95" s="31">
        <v>0.76709613478691774</v>
      </c>
      <c r="DD95" s="31">
        <v>0.78999018645731112</v>
      </c>
      <c r="DE95" s="31">
        <v>0.77788746298124378</v>
      </c>
      <c r="DF95" s="31">
        <v>0.78206857371169414</v>
      </c>
      <c r="DG95" s="31">
        <v>0.75024390243902439</v>
      </c>
      <c r="DH95" s="31">
        <v>0.75793650793650791</v>
      </c>
      <c r="DI95" s="31">
        <v>0.7462537462537463</v>
      </c>
      <c r="DJ95" s="31">
        <v>0.74900398406374502</v>
      </c>
      <c r="DK95" s="31">
        <v>0.76801579466929915</v>
      </c>
      <c r="DL95" s="31">
        <v>0.77103718199608606</v>
      </c>
      <c r="DM95" s="31">
        <v>0.76054955839057903</v>
      </c>
      <c r="DN95" s="31">
        <v>0.7575772393927126</v>
      </c>
      <c r="DO95" s="31">
        <v>0.74251497005988021</v>
      </c>
      <c r="DP95" s="31">
        <v>0.74237954768928216</v>
      </c>
      <c r="DQ95" s="31">
        <v>0.68737672583826426</v>
      </c>
      <c r="DR95" s="31">
        <v>0.70366699702675917</v>
      </c>
      <c r="DS95" s="31">
        <v>0.75</v>
      </c>
      <c r="DT95" s="31">
        <v>0.74901185770750989</v>
      </c>
      <c r="DU95" s="31">
        <v>0.75373878364905289</v>
      </c>
      <c r="DV95" s="31">
        <v>0.73266984028153548</v>
      </c>
      <c r="DW95" s="31">
        <v>0.75496031746031744</v>
      </c>
      <c r="DX95" s="31">
        <v>0.72854291417165673</v>
      </c>
      <c r="DY95" s="31">
        <v>0.74503968253968256</v>
      </c>
      <c r="DZ95" s="31">
        <v>0.72871287128712869</v>
      </c>
      <c r="EA95" s="31">
        <v>0.76381909547738691</v>
      </c>
      <c r="EB95" s="31">
        <v>0.75173783515392256</v>
      </c>
      <c r="EC95" s="31">
        <v>0.77175025588536339</v>
      </c>
      <c r="ED95" s="31">
        <v>0.74922328171077968</v>
      </c>
      <c r="EE95" s="31">
        <v>0.74925373134328355</v>
      </c>
      <c r="EF95" s="31">
        <v>0.77339901477832518</v>
      </c>
      <c r="EG95" s="31">
        <v>0.70501474926253682</v>
      </c>
      <c r="EH95" s="31">
        <v>0.71218074656188601</v>
      </c>
      <c r="EI95" s="31">
        <v>0.74802371541501977</v>
      </c>
      <c r="EJ95" s="31">
        <v>0.79120879120879117</v>
      </c>
      <c r="EK95" s="31">
        <v>0.7640117994100295</v>
      </c>
      <c r="EL95" s="31">
        <v>0.7490132211399817</v>
      </c>
    </row>
    <row r="96" spans="38:142" x14ac:dyDescent="0.35">
      <c r="AL96" s="19" t="s">
        <v>141</v>
      </c>
      <c r="AM96" s="31">
        <v>0.87096774193548387</v>
      </c>
      <c r="AN96" s="31">
        <v>0.85204081632653061</v>
      </c>
      <c r="AO96" s="31">
        <v>0.87569060773480667</v>
      </c>
      <c r="AP96" s="31">
        <v>0.94005449591280654</v>
      </c>
      <c r="AQ96" s="31">
        <v>0.93628808864265933</v>
      </c>
      <c r="AR96" s="31">
        <v>0.87244897959183676</v>
      </c>
      <c r="AS96" s="31">
        <v>0.89795918367346939</v>
      </c>
      <c r="AT96" s="31">
        <v>0.8922071305453706</v>
      </c>
      <c r="AU96" s="31">
        <v>0.85365853658536583</v>
      </c>
      <c r="AV96" s="31">
        <v>0.89247311827956988</v>
      </c>
      <c r="AW96" s="31">
        <v>0.84403669724770647</v>
      </c>
      <c r="AX96" s="31">
        <v>0.84036144578313254</v>
      </c>
      <c r="AY96" s="31">
        <v>0.97535211267605637</v>
      </c>
      <c r="AZ96" s="31">
        <v>0.92676056338028168</v>
      </c>
      <c r="BA96" s="31">
        <v>0.96307692307692305</v>
      </c>
      <c r="BB96" s="31">
        <v>0.89938848528986226</v>
      </c>
      <c r="BC96" s="31">
        <v>0.8771929824561403</v>
      </c>
      <c r="BD96" s="31">
        <v>0.84036144578313254</v>
      </c>
      <c r="BE96" s="31">
        <v>0.89142857142857146</v>
      </c>
      <c r="BF96" s="31">
        <v>0.95356037151702788</v>
      </c>
      <c r="BG96" s="31">
        <v>0.8928571428571429</v>
      </c>
      <c r="BH96" s="31">
        <v>0.9487951807228916</v>
      </c>
      <c r="BI96" s="31">
        <v>0.84457478005865105</v>
      </c>
      <c r="BJ96" s="31">
        <v>0.89268149640336547</v>
      </c>
      <c r="BK96" s="31">
        <v>0.78387096774193543</v>
      </c>
      <c r="BL96" s="31">
        <v>0.75757575757575757</v>
      </c>
      <c r="BM96" s="31">
        <v>0.77289377289377292</v>
      </c>
      <c r="BN96" s="31">
        <v>0.78387096774193543</v>
      </c>
      <c r="BO96" s="31">
        <v>0.81754385964912279</v>
      </c>
      <c r="BP96" s="31">
        <v>0.87220447284345048</v>
      </c>
      <c r="BQ96" s="31">
        <v>0.83183183183183185</v>
      </c>
      <c r="BR96" s="31">
        <v>0.80282737575397234</v>
      </c>
      <c r="BS96" s="31">
        <v>0.85074626865671643</v>
      </c>
      <c r="BT96" s="31">
        <v>0.72668810289389063</v>
      </c>
      <c r="BU96" s="31">
        <v>0.80405405405405406</v>
      </c>
      <c r="BV96" s="31">
        <v>0.87931034482758619</v>
      </c>
      <c r="BW96" s="31">
        <v>0.8928571428571429</v>
      </c>
      <c r="BX96" s="31">
        <v>0.79182156133828996</v>
      </c>
      <c r="BY96" s="31">
        <v>0.89935064935064934</v>
      </c>
      <c r="BZ96" s="31">
        <v>0.83497544628261855</v>
      </c>
      <c r="CA96" s="31">
        <v>0.81366459627329191</v>
      </c>
      <c r="CB96" s="31">
        <v>0.83216783216783219</v>
      </c>
      <c r="CC96" s="31">
        <v>0.78549848942598188</v>
      </c>
      <c r="CD96" s="31">
        <v>0.7780898876404494</v>
      </c>
      <c r="CE96" s="31">
        <v>0.87603305785123964</v>
      </c>
      <c r="CF96" s="31">
        <v>0.954983922829582</v>
      </c>
      <c r="CG96" s="31">
        <v>0.88379204892966357</v>
      </c>
      <c r="CH96" s="31">
        <v>0.84631854787400584</v>
      </c>
      <c r="CI96" s="31">
        <v>0.85599999999999998</v>
      </c>
      <c r="CJ96" s="31">
        <v>0.75362318840579712</v>
      </c>
      <c r="CK96" s="31">
        <v>0.84986595174262736</v>
      </c>
      <c r="CL96" s="31">
        <v>0.76335877862595425</v>
      </c>
      <c r="CM96" s="31">
        <v>0.8984375</v>
      </c>
      <c r="CN96" s="31">
        <v>0.85276073619631898</v>
      </c>
      <c r="CO96" s="31">
        <v>0.88341968911917101</v>
      </c>
      <c r="CP96" s="31">
        <v>0.83678083486998123</v>
      </c>
      <c r="CQ96" s="31">
        <v>0.88372093023255816</v>
      </c>
      <c r="CR96" s="31">
        <v>0.90447761194029852</v>
      </c>
      <c r="CS96" s="31">
        <v>0.84073107049608353</v>
      </c>
      <c r="CT96" s="31">
        <v>0.86647727272727271</v>
      </c>
      <c r="CU96" s="31">
        <v>0.82513661202185795</v>
      </c>
      <c r="CV96" s="31">
        <v>0.89675516224188789</v>
      </c>
      <c r="CW96" s="31">
        <v>0.87818696883852687</v>
      </c>
      <c r="CX96" s="31">
        <v>0.87078366121406936</v>
      </c>
      <c r="CY96" s="31">
        <v>0.78421052631578947</v>
      </c>
      <c r="CZ96" s="31">
        <v>0.85636856368563685</v>
      </c>
      <c r="DA96" s="31">
        <v>0.69312169312169314</v>
      </c>
      <c r="DB96" s="31">
        <v>0.7723342939481268</v>
      </c>
      <c r="DC96" s="31">
        <v>0.77142857142857146</v>
      </c>
      <c r="DD96" s="31">
        <v>0.82305630026809651</v>
      </c>
      <c r="DE96" s="31">
        <v>0.84073107049608353</v>
      </c>
      <c r="DF96" s="31">
        <v>0.79160728846628536</v>
      </c>
      <c r="DG96" s="31">
        <v>0.7</v>
      </c>
      <c r="DH96" s="31">
        <v>0.7025495750708215</v>
      </c>
      <c r="DI96" s="31">
        <v>0.69920844327176779</v>
      </c>
      <c r="DJ96" s="31">
        <v>0.70526315789473681</v>
      </c>
      <c r="DK96" s="31">
        <v>0.73743016759776536</v>
      </c>
      <c r="DL96" s="31">
        <v>0.77101449275362322</v>
      </c>
      <c r="DM96" s="31">
        <v>0.76601671309192199</v>
      </c>
      <c r="DN96" s="31">
        <v>0.72592607852580515</v>
      </c>
      <c r="DO96" s="31">
        <v>0.81767955801104975</v>
      </c>
      <c r="DP96" s="31">
        <v>0.71601208459214505</v>
      </c>
      <c r="DQ96" s="31">
        <v>0.73463687150837986</v>
      </c>
      <c r="DR96" s="31">
        <v>0.92380952380952386</v>
      </c>
      <c r="DS96" s="31">
        <v>0.7</v>
      </c>
      <c r="DT96" s="31">
        <v>0.76384839650145775</v>
      </c>
      <c r="DU96" s="31">
        <v>0.73280423280423279</v>
      </c>
      <c r="DV96" s="31">
        <v>0.76982723817525567</v>
      </c>
      <c r="DW96" s="31">
        <v>0.78746594005449588</v>
      </c>
      <c r="DX96" s="31">
        <v>0.73333333333333328</v>
      </c>
      <c r="DY96" s="31">
        <v>0.80547945205479454</v>
      </c>
      <c r="DZ96" s="31">
        <v>0.80845070422535215</v>
      </c>
      <c r="EA96" s="31">
        <v>0.78947368421052633</v>
      </c>
      <c r="EB96" s="31">
        <v>0.72423398328690802</v>
      </c>
      <c r="EC96" s="31">
        <v>0.75880758807588078</v>
      </c>
      <c r="ED96" s="31">
        <v>0.77246352646304151</v>
      </c>
      <c r="EE96" s="31">
        <v>0.74456521739130432</v>
      </c>
      <c r="EF96" s="31">
        <v>0.8286516853932584</v>
      </c>
      <c r="EG96" s="31">
        <v>0.70299727520435973</v>
      </c>
      <c r="EH96" s="31">
        <v>0.65217391304347827</v>
      </c>
      <c r="EI96" s="31">
        <v>0.75757575757575757</v>
      </c>
      <c r="EJ96" s="31">
        <v>0.78901734104046239</v>
      </c>
      <c r="EK96" s="31">
        <v>0.80952380952380953</v>
      </c>
      <c r="EL96" s="31">
        <v>0.75492928559606132</v>
      </c>
    </row>
    <row r="97" spans="38:142" x14ac:dyDescent="0.35">
      <c r="AL97" s="19" t="s">
        <v>142</v>
      </c>
      <c r="AM97" s="31">
        <v>0.99035369774919613</v>
      </c>
      <c r="AN97" s="31">
        <v>0.9836601307189542</v>
      </c>
      <c r="AO97" s="31">
        <v>0.94249201277955275</v>
      </c>
      <c r="AP97" s="31">
        <v>0.94936708860759489</v>
      </c>
      <c r="AQ97" s="31">
        <v>0.98045602605863191</v>
      </c>
      <c r="AR97" s="31">
        <v>0.99671052631578949</v>
      </c>
      <c r="AS97" s="31">
        <v>0.98692810457516345</v>
      </c>
      <c r="AT97" s="31">
        <v>0.97570965525784037</v>
      </c>
      <c r="AU97" s="31">
        <v>0.99350649350649356</v>
      </c>
      <c r="AV97" s="31">
        <v>0.98726114649681529</v>
      </c>
      <c r="AW97" s="31">
        <v>0.9315960912052117</v>
      </c>
      <c r="AX97" s="31">
        <v>0.94788273615635177</v>
      </c>
      <c r="AY97" s="31">
        <v>0.96721311475409832</v>
      </c>
      <c r="AZ97" s="31">
        <v>0.98726114649681529</v>
      </c>
      <c r="BA97" s="31">
        <v>0.99354838709677418</v>
      </c>
      <c r="BB97" s="31">
        <v>0.97260987367322294</v>
      </c>
      <c r="BC97" s="31">
        <v>0.91618497109826591</v>
      </c>
      <c r="BD97" s="31">
        <v>1</v>
      </c>
      <c r="BE97" s="31">
        <v>0.90379008746355682</v>
      </c>
      <c r="BF97" s="31">
        <v>0.93002915451895041</v>
      </c>
      <c r="BG97" s="31">
        <v>0.9642857142857143</v>
      </c>
      <c r="BH97" s="31">
        <v>0.98666666666666669</v>
      </c>
      <c r="BI97" s="31">
        <v>0.95321637426900585</v>
      </c>
      <c r="BJ97" s="31">
        <v>0.95059613832888001</v>
      </c>
      <c r="BK97" s="31">
        <v>0.6910112359550562</v>
      </c>
      <c r="BL97" s="31">
        <v>0.92711370262390669</v>
      </c>
      <c r="BM97" s="31">
        <v>0.75443786982248517</v>
      </c>
      <c r="BN97" s="31">
        <v>0.79538904899135443</v>
      </c>
      <c r="BO97" s="31">
        <v>0.82647058823529407</v>
      </c>
      <c r="BP97" s="31">
        <v>0.91489361702127658</v>
      </c>
      <c r="BQ97" s="31">
        <v>0.84839650145772594</v>
      </c>
      <c r="BR97" s="31">
        <v>0.82253036630101406</v>
      </c>
      <c r="BS97" s="31">
        <v>0.91740412979351027</v>
      </c>
      <c r="BT97" s="31">
        <v>0.89349112426035504</v>
      </c>
      <c r="BU97" s="31">
        <v>0.94658753709198817</v>
      </c>
      <c r="BV97" s="31">
        <v>0.95977011494252873</v>
      </c>
      <c r="BW97" s="31">
        <v>0.93604651162790697</v>
      </c>
      <c r="BX97" s="31">
        <v>0.92485549132947975</v>
      </c>
      <c r="BY97" s="31">
        <v>0.91907514450867056</v>
      </c>
      <c r="BZ97" s="31">
        <v>0.92817572193634845</v>
      </c>
      <c r="CA97" s="31">
        <v>0.92397660818713445</v>
      </c>
      <c r="CB97" s="31">
        <v>0.94752186588921283</v>
      </c>
      <c r="CC97" s="31">
        <v>0.91420118343195267</v>
      </c>
      <c r="CD97" s="31">
        <v>0.99695121951219512</v>
      </c>
      <c r="CE97" s="31">
        <v>0.94100294985250732</v>
      </c>
      <c r="CF97" s="31">
        <v>0.93083573487031701</v>
      </c>
      <c r="CG97" s="31">
        <v>0.92</v>
      </c>
      <c r="CH97" s="31">
        <v>0.93921279453475981</v>
      </c>
      <c r="CI97" s="31">
        <v>0.94152046783625731</v>
      </c>
      <c r="CJ97" s="31">
        <v>0.9642857142857143</v>
      </c>
      <c r="CK97" s="31">
        <v>0.92625368731563418</v>
      </c>
      <c r="CL97" s="31">
        <v>0.96060606060606057</v>
      </c>
      <c r="CM97" s="31">
        <v>0.93432835820895521</v>
      </c>
      <c r="CN97" s="31">
        <v>0.91860465116279066</v>
      </c>
      <c r="CO97" s="31">
        <v>0.91618497109826591</v>
      </c>
      <c r="CP97" s="31">
        <v>0.93739770150195412</v>
      </c>
      <c r="CQ97" s="31">
        <v>0.91477272727272729</v>
      </c>
      <c r="CR97" s="31">
        <v>0.93871866295264628</v>
      </c>
      <c r="CS97" s="31">
        <v>0.98153846153846158</v>
      </c>
      <c r="CT97" s="31">
        <v>0.90677966101694918</v>
      </c>
      <c r="CU97" s="31">
        <v>0.92897727272727271</v>
      </c>
      <c r="CV97" s="31">
        <v>0.92897727272727271</v>
      </c>
      <c r="CW97" s="31">
        <v>0.90625</v>
      </c>
      <c r="CX97" s="31">
        <v>0.92943057974790422</v>
      </c>
      <c r="CY97" s="31">
        <v>0.95307917888563054</v>
      </c>
      <c r="CZ97" s="31">
        <v>0.9528023598820059</v>
      </c>
      <c r="DA97" s="31">
        <v>0.95522388059701491</v>
      </c>
      <c r="DB97" s="31">
        <v>0.95562130177514792</v>
      </c>
      <c r="DC97" s="31">
        <v>0.94555873925501432</v>
      </c>
      <c r="DD97" s="31">
        <v>0.95942028985507244</v>
      </c>
      <c r="DE97" s="31">
        <v>0.95014662756598245</v>
      </c>
      <c r="DF97" s="31">
        <v>0.95312176825940997</v>
      </c>
      <c r="DG97" s="31">
        <v>0.93432835820895521</v>
      </c>
      <c r="DH97" s="31">
        <v>0.9526627218934911</v>
      </c>
      <c r="DI97" s="31">
        <v>0.9</v>
      </c>
      <c r="DJ97" s="31">
        <v>0.90571428571428569</v>
      </c>
      <c r="DK97" s="31">
        <v>0.93586005830903785</v>
      </c>
      <c r="DL97" s="31">
        <v>0.96011396011396011</v>
      </c>
      <c r="DM97" s="31">
        <v>0.95086705202312138</v>
      </c>
      <c r="DN97" s="31">
        <v>0.93422091946612162</v>
      </c>
      <c r="DO97" s="31">
        <v>0.9219653179190751</v>
      </c>
      <c r="DP97" s="31">
        <v>0.94674556213017746</v>
      </c>
      <c r="DQ97" s="31">
        <v>0.93623188405797098</v>
      </c>
      <c r="DR97" s="31">
        <v>0.95601173020527863</v>
      </c>
      <c r="DS97" s="31">
        <v>0.94186046511627908</v>
      </c>
      <c r="DT97" s="31">
        <v>0.95014662756598245</v>
      </c>
      <c r="DU97" s="31">
        <v>0.92285714285714282</v>
      </c>
      <c r="DV97" s="31">
        <v>0.93940267569312952</v>
      </c>
      <c r="DW97" s="31">
        <v>0.87209302325581395</v>
      </c>
      <c r="DX97" s="31">
        <v>0.9708454810495627</v>
      </c>
      <c r="DY97" s="31">
        <v>0.8342857142857143</v>
      </c>
      <c r="DZ97" s="31">
        <v>0.91714285714285715</v>
      </c>
      <c r="EA97" s="31">
        <v>0.93023255813953487</v>
      </c>
      <c r="EB97" s="31">
        <v>0.9652173913043478</v>
      </c>
      <c r="EC97" s="31">
        <v>0.93043478260869561</v>
      </c>
      <c r="ED97" s="31">
        <v>0.91717882968378961</v>
      </c>
      <c r="EE97" s="31">
        <v>0.9</v>
      </c>
      <c r="EF97" s="31">
        <v>0.90782122905027929</v>
      </c>
      <c r="EG97" s="31">
        <v>0.90704225352112677</v>
      </c>
      <c r="EH97" s="31">
        <v>0.90833333333333333</v>
      </c>
      <c r="EI97" s="31">
        <v>0.91666666666666663</v>
      </c>
      <c r="EJ97" s="31">
        <v>0.92436974789915971</v>
      </c>
      <c r="EK97" s="31">
        <v>0.9022346368715084</v>
      </c>
      <c r="EL97" s="31">
        <v>0.9094954096202964</v>
      </c>
    </row>
    <row r="98" spans="38:142" x14ac:dyDescent="0.35">
      <c r="AL98" s="19" t="s">
        <v>143</v>
      </c>
      <c r="AM98" s="31">
        <v>0.88705583756345174</v>
      </c>
      <c r="AN98" s="31">
        <v>0.84076433121019112</v>
      </c>
      <c r="AO98" s="31">
        <v>0.83862770012706478</v>
      </c>
      <c r="AP98" s="31">
        <v>0.80778588807785889</v>
      </c>
      <c r="AQ98" s="31">
        <v>0.88471177944862156</v>
      </c>
      <c r="AR98" s="31">
        <v>0.87437185929648242</v>
      </c>
      <c r="AS98" s="31">
        <v>0.88621997471554992</v>
      </c>
      <c r="AT98" s="31">
        <v>0.85993391006274578</v>
      </c>
      <c r="AU98" s="31">
        <v>0.87311557788944727</v>
      </c>
      <c r="AV98" s="31">
        <v>0.8404907975460123</v>
      </c>
      <c r="AW98" s="31">
        <v>0.85806451612903223</v>
      </c>
      <c r="AX98" s="31">
        <v>0.84576485461441209</v>
      </c>
      <c r="AY98" s="31">
        <v>0.87560975609756098</v>
      </c>
      <c r="AZ98" s="31">
        <v>0.82439024390243898</v>
      </c>
      <c r="BA98" s="31">
        <v>0.86463414634146341</v>
      </c>
      <c r="BB98" s="31">
        <v>0.85458141321719527</v>
      </c>
      <c r="BC98" s="31">
        <v>0.9137709137709138</v>
      </c>
      <c r="BD98" s="31">
        <v>0.8259833134684148</v>
      </c>
      <c r="BE98" s="31">
        <v>0.87644787644787647</v>
      </c>
      <c r="BF98" s="31">
        <v>0.85585585585585588</v>
      </c>
      <c r="BG98" s="31">
        <v>0.86107634543178979</v>
      </c>
      <c r="BH98" s="31">
        <v>0.83513838748495783</v>
      </c>
      <c r="BI98" s="31">
        <v>0.9120310478654593</v>
      </c>
      <c r="BJ98" s="31">
        <v>0.86861482004646695</v>
      </c>
      <c r="BK98" s="31">
        <v>0.75789473684210529</v>
      </c>
      <c r="BL98" s="31">
        <v>0.86574654956085317</v>
      </c>
      <c r="BM98" s="31">
        <v>0.76710526315789473</v>
      </c>
      <c r="BN98" s="31">
        <v>0.78740157480314965</v>
      </c>
      <c r="BO98" s="31">
        <v>0.81007751937984496</v>
      </c>
      <c r="BP98" s="31">
        <v>0.89060489060489056</v>
      </c>
      <c r="BQ98" s="31">
        <v>0.83011583011583012</v>
      </c>
      <c r="BR98" s="31">
        <v>0.81556376635208117</v>
      </c>
      <c r="BS98" s="31">
        <v>0.88526912181303119</v>
      </c>
      <c r="BT98" s="31">
        <v>0.82020997375328086</v>
      </c>
      <c r="BU98" s="31">
        <v>0.8463648834019204</v>
      </c>
      <c r="BV98" s="31">
        <v>0.82428940568475451</v>
      </c>
      <c r="BW98" s="31">
        <v>0.86229086229086227</v>
      </c>
      <c r="BX98" s="31">
        <v>0.83858764186633039</v>
      </c>
      <c r="BY98" s="31">
        <v>0.89039242219215153</v>
      </c>
      <c r="BZ98" s="31">
        <v>0.8524863301431902</v>
      </c>
      <c r="CA98" s="31">
        <v>0.9525101763907734</v>
      </c>
      <c r="CB98" s="31">
        <v>0.8390367553865653</v>
      </c>
      <c r="CC98" s="31">
        <v>0.91018766756032177</v>
      </c>
      <c r="CD98" s="31">
        <v>0.89006622516556289</v>
      </c>
      <c r="CE98" s="31">
        <v>0.90956072351421191</v>
      </c>
      <c r="CF98" s="31">
        <v>0.89608636977058032</v>
      </c>
      <c r="CG98" s="31">
        <v>0.9024707412223667</v>
      </c>
      <c r="CH98" s="31">
        <v>0.89998837985862601</v>
      </c>
      <c r="CI98" s="31">
        <v>0.92005076142131981</v>
      </c>
      <c r="CJ98" s="31">
        <v>0.9125827814569536</v>
      </c>
      <c r="CK98" s="31">
        <v>0.83109919571045576</v>
      </c>
      <c r="CL98" s="31">
        <v>0.83041722745625846</v>
      </c>
      <c r="CM98" s="31">
        <v>0.91826309067688383</v>
      </c>
      <c r="CN98" s="31">
        <v>0.93187660668380468</v>
      </c>
      <c r="CO98" s="31">
        <v>0.91740787801778911</v>
      </c>
      <c r="CP98" s="31">
        <v>0.89452822020335232</v>
      </c>
      <c r="CQ98" s="31">
        <v>0.85997357992073975</v>
      </c>
      <c r="CR98" s="31">
        <v>0.87702702702702706</v>
      </c>
      <c r="CS98" s="31">
        <v>0.86512261580381467</v>
      </c>
      <c r="CT98" s="31">
        <v>0.82564102564102559</v>
      </c>
      <c r="CU98" s="31">
        <v>0.87234042553191493</v>
      </c>
      <c r="CV98" s="31">
        <v>0.87935656836461129</v>
      </c>
      <c r="CW98" s="31">
        <v>0.86684420772303594</v>
      </c>
      <c r="CX98" s="31">
        <v>0.86375792143030972</v>
      </c>
      <c r="CY98" s="31">
        <v>0.81951871657754005</v>
      </c>
      <c r="CZ98" s="31">
        <v>0.83780332056194129</v>
      </c>
      <c r="DA98" s="31">
        <v>0.85258964143426297</v>
      </c>
      <c r="DB98" s="31">
        <v>0.83159268929503916</v>
      </c>
      <c r="DC98" s="31">
        <v>0.8796791443850267</v>
      </c>
      <c r="DD98" s="31">
        <v>0.84546615581098339</v>
      </c>
      <c r="DE98" s="31">
        <v>0.86780104712041883</v>
      </c>
      <c r="DF98" s="31">
        <v>0.8477786735978875</v>
      </c>
      <c r="DG98" s="31">
        <v>0.87814569536423837</v>
      </c>
      <c r="DH98" s="31">
        <v>0.82592121982210931</v>
      </c>
      <c r="DI98" s="31">
        <v>0.82407407407407407</v>
      </c>
      <c r="DJ98" s="31">
        <v>0.83862433862433861</v>
      </c>
      <c r="DK98" s="31">
        <v>0.88492063492063489</v>
      </c>
      <c r="DL98" s="31">
        <v>0.84223918575063617</v>
      </c>
      <c r="DM98" s="31">
        <v>0.85641025641025637</v>
      </c>
      <c r="DN98" s="31">
        <v>0.85004791499518395</v>
      </c>
      <c r="DO98" s="31">
        <v>0.83289473684210524</v>
      </c>
      <c r="DP98" s="31">
        <v>0.86297760210803687</v>
      </c>
      <c r="DQ98" s="31">
        <v>0.7869062901155327</v>
      </c>
      <c r="DR98" s="31">
        <v>0.79521276595744683</v>
      </c>
      <c r="DS98" s="31">
        <v>0.81112548512289784</v>
      </c>
      <c r="DT98" s="31">
        <v>0.87994722955145122</v>
      </c>
      <c r="DU98" s="31">
        <v>0.83311603650586696</v>
      </c>
      <c r="DV98" s="31">
        <v>0.82888287802904836</v>
      </c>
      <c r="DW98" s="31">
        <v>0.79513444302176695</v>
      </c>
      <c r="DX98" s="31">
        <v>0.79617834394904463</v>
      </c>
      <c r="DY98" s="31">
        <v>0.81861012956419321</v>
      </c>
      <c r="DZ98" s="31">
        <v>0.79849812265331666</v>
      </c>
      <c r="EA98" s="31">
        <v>0.81209781209781207</v>
      </c>
      <c r="EB98" s="31">
        <v>0.83629441624365486</v>
      </c>
      <c r="EC98" s="31">
        <v>0.84743589743589742</v>
      </c>
      <c r="ED98" s="31">
        <v>0.81489273785224092</v>
      </c>
      <c r="EE98" s="31">
        <v>0.84020618556701032</v>
      </c>
      <c r="EF98" s="31">
        <v>0.83417085427135673</v>
      </c>
      <c r="EG98" s="31">
        <v>0.80891719745222934</v>
      </c>
      <c r="EH98" s="31">
        <v>0.79187817258883253</v>
      </c>
      <c r="EI98" s="31">
        <v>0.81139240506329113</v>
      </c>
      <c r="EJ98" s="31">
        <v>0.87770700636942678</v>
      </c>
      <c r="EK98" s="31">
        <v>0.84634760705289669</v>
      </c>
      <c r="EL98" s="31">
        <v>0.83008848976643479</v>
      </c>
    </row>
    <row r="99" spans="38:142" x14ac:dyDescent="0.35">
      <c r="AL99" s="19" t="s">
        <v>144</v>
      </c>
      <c r="AM99" s="31">
        <v>0.86363636363636365</v>
      </c>
      <c r="AN99" s="31">
        <v>0.89568845618915161</v>
      </c>
      <c r="AO99" s="31">
        <v>0.86274509803921573</v>
      </c>
      <c r="AP99" s="31">
        <v>0.92079207920792083</v>
      </c>
      <c r="AQ99" s="31">
        <v>0.88125894134477822</v>
      </c>
      <c r="AR99" s="31">
        <v>0.89577464788732397</v>
      </c>
      <c r="AS99" s="31">
        <v>0.89300998573466472</v>
      </c>
      <c r="AT99" s="31">
        <v>0.88755793886277401</v>
      </c>
      <c r="AU99" s="31">
        <v>0.94002789400278941</v>
      </c>
      <c r="AV99" s="31">
        <v>0.9171348314606742</v>
      </c>
      <c r="AW99" s="31">
        <v>0.8932584269662921</v>
      </c>
      <c r="AX99" s="31">
        <v>0.88579387186629521</v>
      </c>
      <c r="AY99" s="31">
        <v>0.93286713286713285</v>
      </c>
      <c r="AZ99" s="31">
        <v>0.9432918395573997</v>
      </c>
      <c r="BA99" s="31">
        <v>0.95138888888888884</v>
      </c>
      <c r="BB99" s="31">
        <v>0.92339469794421036</v>
      </c>
      <c r="BC99" s="31">
        <v>0.87977369165487973</v>
      </c>
      <c r="BD99" s="31">
        <v>0.90934449093444913</v>
      </c>
      <c r="BE99" s="31">
        <v>0.83753501400560226</v>
      </c>
      <c r="BF99" s="31">
        <v>0.83741007194244599</v>
      </c>
      <c r="BG99" s="31">
        <v>0.89429763560500697</v>
      </c>
      <c r="BH99" s="31">
        <v>0.91549295774647887</v>
      </c>
      <c r="BI99" s="31">
        <v>0.9186535764375876</v>
      </c>
      <c r="BJ99" s="31">
        <v>0.88464391976092149</v>
      </c>
      <c r="BK99" s="31">
        <v>0.64444444444444449</v>
      </c>
      <c r="BL99" s="31">
        <v>0.86573426573426571</v>
      </c>
      <c r="BM99" s="31">
        <v>0.666131621187801</v>
      </c>
      <c r="BN99" s="31">
        <v>0.7560606060606061</v>
      </c>
      <c r="BO99" s="31">
        <v>0.77396280400572248</v>
      </c>
      <c r="BP99" s="31">
        <v>0.8665730337078652</v>
      </c>
      <c r="BQ99" s="31">
        <v>0.829302987197724</v>
      </c>
      <c r="BR99" s="31">
        <v>0.77174425176263273</v>
      </c>
      <c r="BS99" s="31">
        <v>0.83982035928143717</v>
      </c>
      <c r="BT99" s="31">
        <v>0.78686131386861313</v>
      </c>
      <c r="BU99" s="31">
        <v>0.8946629213483146</v>
      </c>
      <c r="BV99" s="31">
        <v>0.89859154929577467</v>
      </c>
      <c r="BW99" s="31">
        <v>0.88826815642458101</v>
      </c>
      <c r="BX99" s="31">
        <v>0.88035450516986702</v>
      </c>
      <c r="BY99" s="31">
        <v>0.88873038516405134</v>
      </c>
      <c r="BZ99" s="31">
        <v>0.86818417007894844</v>
      </c>
      <c r="CA99" s="31">
        <v>0.92185238784370482</v>
      </c>
      <c r="CB99" s="31">
        <v>0.92644978783592646</v>
      </c>
      <c r="CC99" s="31">
        <v>0.88005578800557882</v>
      </c>
      <c r="CD99" s="31">
        <v>0.89161849710982655</v>
      </c>
      <c r="CE99" s="31">
        <v>0.91213389121338917</v>
      </c>
      <c r="CF99" s="31">
        <v>0.90858725761772852</v>
      </c>
      <c r="CG99" s="31">
        <v>0.88966480446927376</v>
      </c>
      <c r="CH99" s="31">
        <v>0.90433748772791822</v>
      </c>
      <c r="CI99" s="31">
        <v>0.90177353342428379</v>
      </c>
      <c r="CJ99" s="31">
        <v>0.9560906515580736</v>
      </c>
      <c r="CK99" s="31">
        <v>0.86931818181818177</v>
      </c>
      <c r="CL99" s="31">
        <v>0.8771929824561403</v>
      </c>
      <c r="CM99" s="31">
        <v>0.91304347826086951</v>
      </c>
      <c r="CN99" s="31">
        <v>0.94530154277699863</v>
      </c>
      <c r="CO99" s="31">
        <v>0.92093704245973651</v>
      </c>
      <c r="CP99" s="31">
        <v>0.91195105896489781</v>
      </c>
      <c r="CQ99" s="31">
        <v>0.92119565217391308</v>
      </c>
      <c r="CR99" s="31">
        <v>0.91564625850340131</v>
      </c>
      <c r="CS99" s="31">
        <v>0.89659863945578233</v>
      </c>
      <c r="CT99" s="31">
        <v>0.899171270718232</v>
      </c>
      <c r="CU99" s="31">
        <v>0.95179063360881544</v>
      </c>
      <c r="CV99" s="31">
        <v>0.91972789115646258</v>
      </c>
      <c r="CW99" s="31">
        <v>0.92200557103064062</v>
      </c>
      <c r="CX99" s="31">
        <v>0.91801941666389253</v>
      </c>
      <c r="CY99" s="31">
        <v>0.90994623655913975</v>
      </c>
      <c r="CZ99" s="31">
        <v>0.90163934426229508</v>
      </c>
      <c r="DA99" s="31">
        <v>0.91008174386920981</v>
      </c>
      <c r="DB99" s="31">
        <v>0.89944903581267222</v>
      </c>
      <c r="DC99" s="31">
        <v>0.93766578249336874</v>
      </c>
      <c r="DD99" s="31">
        <v>0.89890710382513661</v>
      </c>
      <c r="DE99" s="31">
        <v>0.93596730245231607</v>
      </c>
      <c r="DF99" s="31">
        <v>0.91337950703916271</v>
      </c>
      <c r="DG99" s="31">
        <v>0.91576086956521741</v>
      </c>
      <c r="DH99" s="31">
        <v>0.92923898531375171</v>
      </c>
      <c r="DI99" s="31">
        <v>0.86357435197817189</v>
      </c>
      <c r="DJ99" s="31">
        <v>0.92032967032967028</v>
      </c>
      <c r="DK99" s="31">
        <v>0.91924629878869446</v>
      </c>
      <c r="DL99" s="31">
        <v>0.89697802197802201</v>
      </c>
      <c r="DM99" s="31">
        <v>0.92193808882907136</v>
      </c>
      <c r="DN99" s="31">
        <v>0.90958089811179987</v>
      </c>
      <c r="DO99" s="31">
        <v>0.88767123287671235</v>
      </c>
      <c r="DP99" s="31">
        <v>0.94459459459459461</v>
      </c>
      <c r="DQ99" s="31">
        <v>0.89959294436906379</v>
      </c>
      <c r="DR99" s="31">
        <v>0.85850340136054426</v>
      </c>
      <c r="DS99" s="31">
        <v>0.92380952380952386</v>
      </c>
      <c r="DT99" s="31">
        <v>0.95212038303693569</v>
      </c>
      <c r="DU99" s="31">
        <v>0.93818681318681318</v>
      </c>
      <c r="DV99" s="31">
        <v>0.91492555617631266</v>
      </c>
      <c r="DW99" s="31">
        <v>0.89754098360655743</v>
      </c>
      <c r="DX99" s="31">
        <v>0.92432432432432432</v>
      </c>
      <c r="DY99" s="31">
        <v>0.87260273972602742</v>
      </c>
      <c r="DZ99" s="31">
        <v>0.87430939226519333</v>
      </c>
      <c r="EA99" s="31">
        <v>0.92679558011049723</v>
      </c>
      <c r="EB99" s="31">
        <v>0.90514905149051494</v>
      </c>
      <c r="EC99" s="31">
        <v>0.92577597840755732</v>
      </c>
      <c r="ED99" s="31">
        <v>0.90378543570438163</v>
      </c>
      <c r="EE99" s="31">
        <v>0.84745762711864403</v>
      </c>
      <c r="EF99" s="31">
        <v>0.89387755102040811</v>
      </c>
      <c r="EG99" s="31">
        <v>0.80829756795422036</v>
      </c>
      <c r="EH99" s="31">
        <v>0.8415977961432507</v>
      </c>
      <c r="EI99" s="31">
        <v>0.88590604026845643</v>
      </c>
      <c r="EJ99" s="31">
        <v>0.88419618528610355</v>
      </c>
      <c r="EK99" s="31">
        <v>0.91553133514986373</v>
      </c>
      <c r="EL99" s="31">
        <v>0.86812344327727808</v>
      </c>
    </row>
    <row r="100" spans="38:142" x14ac:dyDescent="0.35">
      <c r="AL100" s="19" t="s">
        <v>145</v>
      </c>
      <c r="AM100" s="31">
        <v>0.81578947368421051</v>
      </c>
      <c r="AN100" s="31">
        <v>0.88301886792452833</v>
      </c>
      <c r="AO100" s="31">
        <v>0.83177570093457942</v>
      </c>
      <c r="AP100" s="31">
        <v>0.85687382297551784</v>
      </c>
      <c r="AQ100" s="31">
        <v>0.86817325800376643</v>
      </c>
      <c r="AR100" s="31">
        <v>0.89204545454545459</v>
      </c>
      <c r="AS100" s="31">
        <v>0.88345864661654139</v>
      </c>
      <c r="AT100" s="31">
        <v>0.86159074638351407</v>
      </c>
      <c r="AU100" s="31">
        <v>0.92979127134724859</v>
      </c>
      <c r="AV100" s="31">
        <v>0.88721804511278191</v>
      </c>
      <c r="AW100" s="31">
        <v>0.9096153846153846</v>
      </c>
      <c r="AX100" s="31">
        <v>0.89885496183206104</v>
      </c>
      <c r="AY100" s="31">
        <v>0.8996282527881041</v>
      </c>
      <c r="AZ100" s="31">
        <v>0.89610389610389607</v>
      </c>
      <c r="BA100" s="31">
        <v>0.88560885608856088</v>
      </c>
      <c r="BB100" s="31">
        <v>0.90097438112686234</v>
      </c>
      <c r="BC100" s="31">
        <v>0.85125448028673834</v>
      </c>
      <c r="BD100" s="31">
        <v>0.90892193308550184</v>
      </c>
      <c r="BE100" s="31">
        <v>0.89035916824196593</v>
      </c>
      <c r="BF100" s="31">
        <v>0.91793893129770987</v>
      </c>
      <c r="BG100" s="31">
        <v>0.92234848484848486</v>
      </c>
      <c r="BH100" s="31">
        <v>0.9462962962962963</v>
      </c>
      <c r="BI100" s="31">
        <v>0.92910447761194026</v>
      </c>
      <c r="BJ100" s="31">
        <v>0.90946053880980515</v>
      </c>
      <c r="BK100" s="31">
        <v>0.71775700934579434</v>
      </c>
      <c r="BL100" s="31">
        <v>0.92124542124542119</v>
      </c>
      <c r="BM100" s="31">
        <v>0.7551401869158878</v>
      </c>
      <c r="BN100" s="31">
        <v>0.79595588235294112</v>
      </c>
      <c r="BO100" s="31">
        <v>0.83985102420856605</v>
      </c>
      <c r="BP100" s="31">
        <v>0.91009174311926611</v>
      </c>
      <c r="BQ100" s="31">
        <v>0.8764044943820225</v>
      </c>
      <c r="BR100" s="31">
        <v>0.83092082308141424</v>
      </c>
      <c r="BS100" s="31">
        <v>0.86067019400352729</v>
      </c>
      <c r="BT100" s="31">
        <v>0.87245841035120153</v>
      </c>
      <c r="BU100" s="31">
        <v>0.91621129326047357</v>
      </c>
      <c r="BV100" s="31">
        <v>0.91304347826086951</v>
      </c>
      <c r="BW100" s="31">
        <v>0.90192644483362527</v>
      </c>
      <c r="BX100" s="31">
        <v>0.89184397163120566</v>
      </c>
      <c r="BY100" s="31">
        <v>0.89436619718309862</v>
      </c>
      <c r="BZ100" s="31">
        <v>0.89293142707485729</v>
      </c>
      <c r="CA100" s="31">
        <v>0.9</v>
      </c>
      <c r="CB100" s="31">
        <v>0.91864406779661012</v>
      </c>
      <c r="CC100" s="31">
        <v>0.91130434782608694</v>
      </c>
      <c r="CD100" s="31">
        <v>0.87301587301587302</v>
      </c>
      <c r="CE100" s="31">
        <v>0.88869863013698636</v>
      </c>
      <c r="CF100" s="31">
        <v>0.92385786802030456</v>
      </c>
      <c r="CG100" s="31">
        <v>0.91206896551724137</v>
      </c>
      <c r="CH100" s="31">
        <v>0.90394139318758604</v>
      </c>
      <c r="CI100" s="31">
        <v>0.90892857142857142</v>
      </c>
      <c r="CJ100" s="31">
        <v>0.88434163701067614</v>
      </c>
      <c r="CK100" s="31">
        <v>0.86017699115044244</v>
      </c>
      <c r="CL100" s="31">
        <v>0.87050359712230219</v>
      </c>
      <c r="CM100" s="31">
        <v>0.89770723104056438</v>
      </c>
      <c r="CN100" s="31">
        <v>0.89839572192513373</v>
      </c>
      <c r="CO100" s="31">
        <v>0.86564625850340138</v>
      </c>
      <c r="CP100" s="31">
        <v>0.88367142974015589</v>
      </c>
      <c r="CQ100" s="31">
        <v>0.89770723104056438</v>
      </c>
      <c r="CR100" s="31">
        <v>0.88828828828828832</v>
      </c>
      <c r="CS100" s="31">
        <v>0.86865148861646235</v>
      </c>
      <c r="CT100" s="31">
        <v>0.86856127886323264</v>
      </c>
      <c r="CU100" s="31">
        <v>0.90442477876106198</v>
      </c>
      <c r="CV100" s="31">
        <v>0.8418181818181818</v>
      </c>
      <c r="CW100" s="31">
        <v>0.84601449275362317</v>
      </c>
      <c r="CX100" s="31">
        <v>0.87363796287734485</v>
      </c>
      <c r="CY100" s="31">
        <v>0.89353612167300378</v>
      </c>
      <c r="CZ100" s="31">
        <v>0.88214904679376083</v>
      </c>
      <c r="DA100" s="31">
        <v>0.85904761904761906</v>
      </c>
      <c r="DB100" s="31">
        <v>0.89563567362428842</v>
      </c>
      <c r="DC100" s="31">
        <v>0.8928571428571429</v>
      </c>
      <c r="DD100" s="31">
        <v>0.91418563922942209</v>
      </c>
      <c r="DE100" s="31">
        <v>0.92281303602058318</v>
      </c>
      <c r="DF100" s="31">
        <v>0.89431775417797432</v>
      </c>
      <c r="DG100" s="31">
        <v>0.86363636363636365</v>
      </c>
      <c r="DH100" s="31">
        <v>0.89753320683111959</v>
      </c>
      <c r="DI100" s="31">
        <v>0.81481481481481477</v>
      </c>
      <c r="DJ100" s="31">
        <v>0.86021505376344087</v>
      </c>
      <c r="DK100" s="31">
        <v>0.86219081272084808</v>
      </c>
      <c r="DL100" s="31">
        <v>0.91743119266055051</v>
      </c>
      <c r="DM100" s="31">
        <v>0.90810810810810816</v>
      </c>
      <c r="DN100" s="31">
        <v>0.87484707893360647</v>
      </c>
      <c r="DO100" s="31">
        <v>0.86885245901639341</v>
      </c>
      <c r="DP100" s="31">
        <v>0.85026737967914434</v>
      </c>
      <c r="DQ100" s="31">
        <v>0.92277992277992282</v>
      </c>
      <c r="DR100" s="31">
        <v>0.91984732824427484</v>
      </c>
      <c r="DS100" s="31">
        <v>0.89110707803992739</v>
      </c>
      <c r="DT100" s="31">
        <v>0.87589928057553956</v>
      </c>
      <c r="DU100" s="31">
        <v>0.88607594936708856</v>
      </c>
      <c r="DV100" s="31">
        <v>0.88783277110032721</v>
      </c>
      <c r="DW100" s="31">
        <v>0.87943262411347523</v>
      </c>
      <c r="DX100" s="31">
        <v>0.91619047619047622</v>
      </c>
      <c r="DY100" s="31">
        <v>0.84843205574912894</v>
      </c>
      <c r="DZ100" s="31">
        <v>0.87346221441124783</v>
      </c>
      <c r="EA100" s="31">
        <v>0.8971631205673759</v>
      </c>
      <c r="EB100" s="31">
        <v>0.92750929368029744</v>
      </c>
      <c r="EC100" s="31">
        <v>0.92710280373831777</v>
      </c>
      <c r="ED100" s="31">
        <v>0.89561322692147427</v>
      </c>
      <c r="EE100" s="31">
        <v>0.86395759717314491</v>
      </c>
      <c r="EF100" s="31">
        <v>0.897887323943662</v>
      </c>
      <c r="EG100" s="31">
        <v>0.84902309058614567</v>
      </c>
      <c r="EH100" s="31">
        <v>0.84275618374558303</v>
      </c>
      <c r="EI100" s="31">
        <v>0.8403508771929824</v>
      </c>
      <c r="EJ100" s="31">
        <v>0.88078291814946619</v>
      </c>
      <c r="EK100" s="31">
        <v>0.86274509803921573</v>
      </c>
      <c r="EL100" s="31">
        <v>0.86250044126145708</v>
      </c>
    </row>
    <row r="101" spans="38:142" x14ac:dyDescent="0.35">
      <c r="AL101" s="19" t="s">
        <v>146</v>
      </c>
      <c r="AM101" s="31">
        <v>0.9296235679214403</v>
      </c>
      <c r="AN101" s="31">
        <v>0.96644295302013428</v>
      </c>
      <c r="AO101" s="31">
        <v>0.91905564924114669</v>
      </c>
      <c r="AP101" s="31">
        <v>0.97962648556876064</v>
      </c>
      <c r="AQ101" s="31">
        <v>0.87751677852348997</v>
      </c>
      <c r="AR101" s="31">
        <v>0.96351575456053073</v>
      </c>
      <c r="AS101" s="31">
        <v>0.97674418604651159</v>
      </c>
      <c r="AT101" s="31">
        <v>0.944646482126002</v>
      </c>
      <c r="AU101" s="31">
        <v>0.97807757166947729</v>
      </c>
      <c r="AV101" s="31">
        <v>0.98132427843803061</v>
      </c>
      <c r="AW101" s="31">
        <v>0.95059625212947185</v>
      </c>
      <c r="AX101" s="31">
        <v>0.96575342465753422</v>
      </c>
      <c r="AY101" s="31">
        <v>0.97586206896551719</v>
      </c>
      <c r="AZ101" s="31">
        <v>0.97594501718213056</v>
      </c>
      <c r="BA101" s="31">
        <v>0.97758620689655173</v>
      </c>
      <c r="BB101" s="31">
        <v>0.97216354570553054</v>
      </c>
      <c r="BC101" s="31">
        <v>0.95914742451154533</v>
      </c>
      <c r="BD101" s="31">
        <v>0.97792869269949068</v>
      </c>
      <c r="BE101" s="31">
        <v>0.91312056737588654</v>
      </c>
      <c r="BF101" s="31">
        <v>0.9261261261261261</v>
      </c>
      <c r="BG101" s="31">
        <v>0.94117647058823528</v>
      </c>
      <c r="BH101" s="31">
        <v>0.97948717948717945</v>
      </c>
      <c r="BI101" s="31">
        <v>0.96397941680960553</v>
      </c>
      <c r="BJ101" s="31">
        <v>0.95156655394258138</v>
      </c>
      <c r="BK101" s="31">
        <v>0.88761904761904764</v>
      </c>
      <c r="BL101" s="31">
        <v>0.93284936479128855</v>
      </c>
      <c r="BM101" s="31">
        <v>0.89493433395872424</v>
      </c>
      <c r="BN101" s="31">
        <v>0.94216417910447758</v>
      </c>
      <c r="BO101" s="31">
        <v>0.91074681238615662</v>
      </c>
      <c r="BP101" s="31">
        <v>0.95398230088495573</v>
      </c>
      <c r="BQ101" s="31">
        <v>0.93525179856115104</v>
      </c>
      <c r="BR101" s="31">
        <v>0.92250683390082877</v>
      </c>
      <c r="BS101" s="31">
        <v>0.90138408304498274</v>
      </c>
      <c r="BT101" s="31">
        <v>0.96139705882352944</v>
      </c>
      <c r="BU101" s="31">
        <v>0.92241379310344829</v>
      </c>
      <c r="BV101" s="31">
        <v>0.93003412969283272</v>
      </c>
      <c r="BW101" s="31">
        <v>0.93653516295025729</v>
      </c>
      <c r="BX101" s="31">
        <v>0.97682709447415328</v>
      </c>
      <c r="BY101" s="31">
        <v>0.96101694915254232</v>
      </c>
      <c r="BZ101" s="31">
        <v>0.94137261017739238</v>
      </c>
      <c r="CA101" s="31">
        <v>0.96557659208261615</v>
      </c>
      <c r="CB101" s="31">
        <v>0.97610921501706482</v>
      </c>
      <c r="CC101" s="31">
        <v>0.9375</v>
      </c>
      <c r="CD101" s="31">
        <v>0.95862068965517244</v>
      </c>
      <c r="CE101" s="31">
        <v>0.96054888507718694</v>
      </c>
      <c r="CF101" s="31">
        <v>0.96610169491525422</v>
      </c>
      <c r="CG101" s="31">
        <v>0.96239316239316242</v>
      </c>
      <c r="CH101" s="31">
        <v>0.96097860559149395</v>
      </c>
      <c r="CI101" s="31">
        <v>0.94664371772805511</v>
      </c>
      <c r="CJ101" s="31">
        <v>0.97777777777777775</v>
      </c>
      <c r="CK101" s="31">
        <v>0.9349736379613357</v>
      </c>
      <c r="CL101" s="31">
        <v>0.94346289752650181</v>
      </c>
      <c r="CM101" s="31">
        <v>0.95847750865051906</v>
      </c>
      <c r="CN101" s="31">
        <v>0.97250859106529208</v>
      </c>
      <c r="CO101" s="31">
        <v>0.9538461538461539</v>
      </c>
      <c r="CP101" s="31">
        <v>0.95538432636509085</v>
      </c>
      <c r="CQ101" s="31">
        <v>0.96020761245674735</v>
      </c>
      <c r="CR101" s="31">
        <v>0.93554006968641112</v>
      </c>
      <c r="CS101" s="31">
        <v>0.96140939597315433</v>
      </c>
      <c r="CT101" s="31">
        <v>0.94727891156462585</v>
      </c>
      <c r="CU101" s="31">
        <v>0.96858638743455494</v>
      </c>
      <c r="CV101" s="31">
        <v>0.977112676056338</v>
      </c>
      <c r="CW101" s="31">
        <v>0.94529914529914527</v>
      </c>
      <c r="CX101" s="31">
        <v>0.95649059978156814</v>
      </c>
      <c r="CY101" s="31">
        <v>0.9264214046822743</v>
      </c>
      <c r="CZ101" s="31">
        <v>0.91347753743760396</v>
      </c>
      <c r="DA101" s="31">
        <v>0.9234608985024958</v>
      </c>
      <c r="DB101" s="31">
        <v>0.9631578947368421</v>
      </c>
      <c r="DC101" s="31">
        <v>0.93493150684931503</v>
      </c>
      <c r="DD101" s="31">
        <v>0.91846921797004988</v>
      </c>
      <c r="DE101" s="31">
        <v>0.91652754590984975</v>
      </c>
      <c r="DF101" s="31">
        <v>0.92806371515549002</v>
      </c>
      <c r="DG101" s="31">
        <v>0.9119718309859155</v>
      </c>
      <c r="DH101" s="31">
        <v>0.94718909710391819</v>
      </c>
      <c r="DI101" s="31">
        <v>0.85299145299145296</v>
      </c>
      <c r="DJ101" s="31">
        <v>0.88601036269430056</v>
      </c>
      <c r="DK101" s="31">
        <v>0.92321116928446767</v>
      </c>
      <c r="DL101" s="31">
        <v>0.94736842105263153</v>
      </c>
      <c r="DM101" s="31">
        <v>0.92321116928446767</v>
      </c>
      <c r="DN101" s="31">
        <v>0.91313621477102203</v>
      </c>
      <c r="DO101" s="31">
        <v>0.91224862888482627</v>
      </c>
      <c r="DP101" s="31">
        <v>0.90701754385964917</v>
      </c>
      <c r="DQ101" s="31">
        <v>0.86306306306306302</v>
      </c>
      <c r="DR101" s="31">
        <v>0.88848263254113347</v>
      </c>
      <c r="DS101" s="31">
        <v>0.93189964157706096</v>
      </c>
      <c r="DT101" s="31">
        <v>0.9387387387387387</v>
      </c>
      <c r="DU101" s="31">
        <v>0.94265232974910396</v>
      </c>
      <c r="DV101" s="31">
        <v>0.91201465405908222</v>
      </c>
      <c r="DW101" s="31">
        <v>0.93906810035842292</v>
      </c>
      <c r="DX101" s="31">
        <v>0.91272727272727272</v>
      </c>
      <c r="DY101" s="31">
        <v>0.8771929824561403</v>
      </c>
      <c r="DZ101" s="31">
        <v>0.8884955752212389</v>
      </c>
      <c r="EA101" s="31">
        <v>0.936247723132969</v>
      </c>
      <c r="EB101" s="31">
        <v>0.91814946619217086</v>
      </c>
      <c r="EC101" s="31">
        <v>0.92585895117540684</v>
      </c>
      <c r="ED101" s="31">
        <v>0.91396286732337451</v>
      </c>
      <c r="EE101" s="31">
        <v>0.89982110912343471</v>
      </c>
      <c r="EF101" s="31">
        <v>0.93728222996515675</v>
      </c>
      <c r="EG101" s="31">
        <v>0.84642857142857142</v>
      </c>
      <c r="EH101" s="31">
        <v>0.79533213644524237</v>
      </c>
      <c r="EI101" s="31">
        <v>0.90875912408759119</v>
      </c>
      <c r="EJ101" s="31">
        <v>0.9376114081996435</v>
      </c>
      <c r="EK101" s="31">
        <v>0.90391459074733094</v>
      </c>
      <c r="EL101" s="31">
        <v>0.88987845285671008</v>
      </c>
    </row>
    <row r="102" spans="38:142" x14ac:dyDescent="0.35">
      <c r="AL102" s="19" t="s">
        <v>147</v>
      </c>
      <c r="AM102" s="31">
        <v>0.77142857142857146</v>
      </c>
      <c r="AN102" s="31">
        <v>0.71025641025641029</v>
      </c>
      <c r="AO102" s="31">
        <v>0.74805194805194808</v>
      </c>
      <c r="AP102" s="31">
        <v>0.76103896103896107</v>
      </c>
      <c r="AQ102" s="31">
        <v>0.7220779220779221</v>
      </c>
      <c r="AR102" s="31">
        <v>0.72307692307692306</v>
      </c>
      <c r="AS102" s="31">
        <v>0.7194805194805195</v>
      </c>
      <c r="AT102" s="31">
        <v>0.73648732220160795</v>
      </c>
      <c r="AU102" s="31">
        <v>0.77142857142857146</v>
      </c>
      <c r="AV102" s="31">
        <v>0.74285714285714288</v>
      </c>
      <c r="AW102" s="31">
        <v>0.78181818181818186</v>
      </c>
      <c r="AX102" s="31">
        <v>0.77922077922077926</v>
      </c>
      <c r="AY102" s="31">
        <v>0.77142857142857146</v>
      </c>
      <c r="AZ102" s="31">
        <v>0.77662337662337666</v>
      </c>
      <c r="BA102" s="31">
        <v>0.79480519480519485</v>
      </c>
      <c r="BB102" s="31">
        <v>0.77402597402597395</v>
      </c>
      <c r="BC102" s="31">
        <v>0.82077922077922083</v>
      </c>
      <c r="BD102" s="31">
        <v>0.8</v>
      </c>
      <c r="BE102" s="31">
        <v>0.79220779220779225</v>
      </c>
      <c r="BF102" s="31">
        <v>0.81818181818181823</v>
      </c>
      <c r="BG102" s="31">
        <v>0.83376623376623371</v>
      </c>
      <c r="BH102" s="31">
        <v>0.80519480519480524</v>
      </c>
      <c r="BI102" s="31">
        <v>0.83376623376623371</v>
      </c>
      <c r="BJ102" s="31">
        <v>0.81484230055658624</v>
      </c>
      <c r="BK102" s="31">
        <v>0.7116883116883117</v>
      </c>
      <c r="BL102" s="31">
        <v>0.80259740259740264</v>
      </c>
      <c r="BM102" s="31">
        <v>0.7220779220779221</v>
      </c>
      <c r="BN102" s="31">
        <v>0.74025974025974028</v>
      </c>
      <c r="BO102" s="31">
        <v>0.7142857142857143</v>
      </c>
      <c r="BP102" s="31">
        <v>0.78441558441558445</v>
      </c>
      <c r="BQ102" s="31">
        <v>0.75064935064935068</v>
      </c>
      <c r="BR102" s="31">
        <v>0.7465677179962894</v>
      </c>
      <c r="BS102" s="31">
        <v>0.83376623376623371</v>
      </c>
      <c r="BT102" s="31">
        <v>0.77402597402597406</v>
      </c>
      <c r="BU102" s="31">
        <v>0.84155844155844151</v>
      </c>
      <c r="BV102" s="31">
        <v>0.81818181818181823</v>
      </c>
      <c r="BW102" s="31">
        <v>0.83896103896103891</v>
      </c>
      <c r="BX102" s="31">
        <v>0.81298701298701304</v>
      </c>
      <c r="BY102" s="31">
        <v>0.84155844155844151</v>
      </c>
      <c r="BZ102" s="31">
        <v>0.82300556586270868</v>
      </c>
      <c r="CA102" s="31">
        <v>0.82337662337662343</v>
      </c>
      <c r="CB102" s="31">
        <v>0.79480519480519485</v>
      </c>
      <c r="CC102" s="31">
        <v>0.82337662337662343</v>
      </c>
      <c r="CD102" s="31">
        <v>0.82857142857142863</v>
      </c>
      <c r="CE102" s="31">
        <v>0.81298701298701304</v>
      </c>
      <c r="CF102" s="31">
        <v>0.82077922077922083</v>
      </c>
      <c r="CG102" s="31">
        <v>0.83116883116883122</v>
      </c>
      <c r="CH102" s="31">
        <v>0.81929499072356204</v>
      </c>
      <c r="CI102" s="31">
        <v>0.81298701298701304</v>
      </c>
      <c r="CJ102" s="31">
        <v>0.81558441558441563</v>
      </c>
      <c r="CK102" s="31">
        <v>0.81298701298701304</v>
      </c>
      <c r="CL102" s="31">
        <v>0.78441558441558445</v>
      </c>
      <c r="CM102" s="31">
        <v>0.81818181818181823</v>
      </c>
      <c r="CN102" s="31">
        <v>0.78961038961038965</v>
      </c>
      <c r="CO102" s="31">
        <v>0.81298701298701304</v>
      </c>
      <c r="CP102" s="31">
        <v>0.80667903525046381</v>
      </c>
      <c r="CQ102" s="31">
        <v>0.82597402597402603</v>
      </c>
      <c r="CR102" s="31">
        <v>0.77402597402597406</v>
      </c>
      <c r="CS102" s="31">
        <v>0.79740259740259745</v>
      </c>
      <c r="CT102" s="31">
        <v>0.78961038961038965</v>
      </c>
      <c r="CU102" s="31">
        <v>0.82077922077922083</v>
      </c>
      <c r="CV102" s="31">
        <v>0.81298701298701304</v>
      </c>
      <c r="CW102" s="31">
        <v>0.82597402597402603</v>
      </c>
      <c r="CX102" s="31">
        <v>0.80667903525046392</v>
      </c>
      <c r="CY102" s="31">
        <v>0.77662337662337666</v>
      </c>
      <c r="CZ102" s="31">
        <v>0.80519480519480524</v>
      </c>
      <c r="DA102" s="31">
        <v>0.72727272727272729</v>
      </c>
      <c r="DB102" s="31">
        <v>0.75064935064935068</v>
      </c>
      <c r="DC102" s="31">
        <v>0.75324675324675328</v>
      </c>
      <c r="DD102" s="31">
        <v>0.82077922077922083</v>
      </c>
      <c r="DE102" s="31">
        <v>0.76883116883116887</v>
      </c>
      <c r="DF102" s="31">
        <v>0.7717996289424861</v>
      </c>
      <c r="DG102" s="31">
        <v>0.7116883116883117</v>
      </c>
      <c r="DH102" s="31">
        <v>0.75064935064935068</v>
      </c>
      <c r="DI102" s="31">
        <v>0.67792207792207793</v>
      </c>
      <c r="DJ102" s="31">
        <v>0.72467532467532469</v>
      </c>
      <c r="DK102" s="31">
        <v>0.75584415584415587</v>
      </c>
      <c r="DL102" s="31">
        <v>0.77142857142857146</v>
      </c>
      <c r="DM102" s="31">
        <v>0.78961038961038965</v>
      </c>
      <c r="DN102" s="31">
        <v>0.74025974025974028</v>
      </c>
      <c r="DO102" s="31">
        <v>0.73506493506493509</v>
      </c>
      <c r="DP102" s="31">
        <v>0.7168831168831169</v>
      </c>
      <c r="DQ102" s="31">
        <v>0.70909090909090911</v>
      </c>
      <c r="DR102" s="31">
        <v>0.7116883116883117</v>
      </c>
      <c r="DS102" s="31">
        <v>0.69350649350649352</v>
      </c>
      <c r="DT102" s="31">
        <v>0.7220779220779221</v>
      </c>
      <c r="DU102" s="31">
        <v>0.70909090909090911</v>
      </c>
      <c r="DV102" s="31">
        <v>0.71391465677179966</v>
      </c>
      <c r="DW102" s="31">
        <v>0.76363636363636367</v>
      </c>
      <c r="DX102" s="31">
        <v>0.74805194805194808</v>
      </c>
      <c r="DY102" s="31">
        <v>0.7194805194805195</v>
      </c>
      <c r="DZ102" s="31">
        <v>0.7168831168831169</v>
      </c>
      <c r="EA102" s="31">
        <v>0.78181818181818186</v>
      </c>
      <c r="EB102" s="31">
        <v>0.75064935064935068</v>
      </c>
      <c r="EC102" s="31">
        <v>0.77922077922077926</v>
      </c>
      <c r="ED102" s="31">
        <v>0.75139146567717996</v>
      </c>
      <c r="EE102" s="31">
        <v>0.65454545454545454</v>
      </c>
      <c r="EF102" s="31">
        <v>0.74805194805194808</v>
      </c>
      <c r="EG102" s="31">
        <v>0.67532467532467533</v>
      </c>
      <c r="EH102" s="31">
        <v>0.69610389610389611</v>
      </c>
      <c r="EI102" s="31">
        <v>0.65454545454545454</v>
      </c>
      <c r="EJ102" s="31">
        <v>0.72987012987012989</v>
      </c>
      <c r="EK102" s="31">
        <v>0.74025974025974028</v>
      </c>
      <c r="EL102" s="31">
        <v>0.69981447124304264</v>
      </c>
    </row>
    <row r="103" spans="38:142" x14ac:dyDescent="0.35">
      <c r="AL103" s="19" t="s">
        <v>148</v>
      </c>
      <c r="AM103" s="31">
        <v>0.89379084967320266</v>
      </c>
      <c r="AN103" s="31">
        <v>0.87418300653594772</v>
      </c>
      <c r="AO103" s="31">
        <v>0.86928104575163401</v>
      </c>
      <c r="AP103" s="31">
        <v>0.8529411764705882</v>
      </c>
      <c r="AQ103" s="31">
        <v>0.88398692810457513</v>
      </c>
      <c r="AR103" s="31">
        <v>0.87254901960784315</v>
      </c>
      <c r="AS103" s="31">
        <v>0.87091503267973858</v>
      </c>
      <c r="AT103" s="31">
        <v>0.873949579831933</v>
      </c>
      <c r="AU103" s="31">
        <v>0.8643790849673203</v>
      </c>
      <c r="AV103" s="31">
        <v>0.86111111111111116</v>
      </c>
      <c r="AW103" s="31">
        <v>0.9341421143847487</v>
      </c>
      <c r="AX103" s="31">
        <v>0.86601307189542487</v>
      </c>
      <c r="AY103" s="31">
        <v>0.8643790849673203</v>
      </c>
      <c r="AZ103" s="31">
        <v>0.90032679738562094</v>
      </c>
      <c r="BA103" s="31">
        <v>0.92736486486486491</v>
      </c>
      <c r="BB103" s="31">
        <v>0.88824516136805876</v>
      </c>
      <c r="BC103" s="31">
        <v>0.90709459459459463</v>
      </c>
      <c r="BD103" s="31">
        <v>0.91083916083916083</v>
      </c>
      <c r="BE103" s="31">
        <v>0.91624790619765495</v>
      </c>
      <c r="BF103" s="31">
        <v>0.90199335548172754</v>
      </c>
      <c r="BG103" s="31">
        <v>0.91666666666666663</v>
      </c>
      <c r="BH103" s="31">
        <v>0.92218543046357615</v>
      </c>
      <c r="BI103" s="31">
        <v>0.92156862745098034</v>
      </c>
      <c r="BJ103" s="31">
        <v>0.91379939167062307</v>
      </c>
      <c r="BK103" s="31">
        <v>0.75331125827814571</v>
      </c>
      <c r="BL103" s="31">
        <v>0.91500000000000004</v>
      </c>
      <c r="BM103" s="31">
        <v>0.77614379084967322</v>
      </c>
      <c r="BN103" s="31">
        <v>0.88041594454072791</v>
      </c>
      <c r="BO103" s="31">
        <v>0.85524126455906824</v>
      </c>
      <c r="BP103" s="31">
        <v>0.93189368770764125</v>
      </c>
      <c r="BQ103" s="31">
        <v>0.88888888888888884</v>
      </c>
      <c r="BR103" s="31">
        <v>0.85727069068916351</v>
      </c>
      <c r="BS103" s="31">
        <v>0.86111111111111116</v>
      </c>
      <c r="BT103" s="31">
        <v>0.83225806451612905</v>
      </c>
      <c r="BU103" s="31">
        <v>0.8643790849673203</v>
      </c>
      <c r="BV103" s="31">
        <v>0.89932885906040272</v>
      </c>
      <c r="BW103" s="31">
        <v>0.90522875816993464</v>
      </c>
      <c r="BX103" s="31">
        <v>0.89516129032258063</v>
      </c>
      <c r="BY103" s="31">
        <v>0.93080724876441512</v>
      </c>
      <c r="BZ103" s="31">
        <v>0.88403920241598477</v>
      </c>
      <c r="CA103" s="31">
        <v>0.92996742671009769</v>
      </c>
      <c r="CB103" s="31">
        <v>0.8935483870967742</v>
      </c>
      <c r="CC103" s="31">
        <v>0.90716612377850159</v>
      </c>
      <c r="CD103" s="31">
        <v>0.9</v>
      </c>
      <c r="CE103" s="31">
        <v>0.93086816720257237</v>
      </c>
      <c r="CF103" s="31">
        <v>0.91935483870967738</v>
      </c>
      <c r="CG103" s="31">
        <v>0.9682274247491639</v>
      </c>
      <c r="CH103" s="31">
        <v>0.92130462403525537</v>
      </c>
      <c r="CI103" s="31">
        <v>0.92182410423452765</v>
      </c>
      <c r="CJ103" s="31">
        <v>0.8936507936507937</v>
      </c>
      <c r="CK103" s="31">
        <v>0.86750788643533128</v>
      </c>
      <c r="CL103" s="31">
        <v>0.87251655629139069</v>
      </c>
      <c r="CM103" s="31">
        <v>0.89710610932475887</v>
      </c>
      <c r="CN103" s="31">
        <v>0.90836012861736337</v>
      </c>
      <c r="CO103" s="31">
        <v>0.90675241157556274</v>
      </c>
      <c r="CP103" s="31">
        <v>0.895388284304247</v>
      </c>
      <c r="CQ103" s="31">
        <v>0.9262981574539364</v>
      </c>
      <c r="CR103" s="31">
        <v>0.90588235294117647</v>
      </c>
      <c r="CS103" s="31">
        <v>0.90476190476190477</v>
      </c>
      <c r="CT103" s="31">
        <v>0.92542372881355928</v>
      </c>
      <c r="CU103" s="31">
        <v>0.93120805369127513</v>
      </c>
      <c r="CV103" s="31">
        <v>0.92654424040066774</v>
      </c>
      <c r="CW103" s="31">
        <v>0.95622895622895621</v>
      </c>
      <c r="CX103" s="31">
        <v>0.92519248489878236</v>
      </c>
      <c r="CY103" s="31">
        <v>0.92320534223706174</v>
      </c>
      <c r="CZ103" s="31">
        <v>0.94067796610169496</v>
      </c>
      <c r="DA103" s="31">
        <v>0.9261744966442953</v>
      </c>
      <c r="DB103" s="31">
        <v>0.94247038917089676</v>
      </c>
      <c r="DC103" s="31">
        <v>0.94754653130287647</v>
      </c>
      <c r="DD103" s="31">
        <v>0.96790540540540537</v>
      </c>
      <c r="DE103" s="31">
        <v>0.96127946127946129</v>
      </c>
      <c r="DF103" s="31">
        <v>0.94417994173452746</v>
      </c>
      <c r="DG103" s="31">
        <v>0.93456375838926176</v>
      </c>
      <c r="DH103" s="31">
        <v>0.93666666666666665</v>
      </c>
      <c r="DI103" s="31">
        <v>0.89393939393939392</v>
      </c>
      <c r="DJ103" s="31">
        <v>0.89730639730639727</v>
      </c>
      <c r="DK103" s="31">
        <v>0.95270270270270274</v>
      </c>
      <c r="DL103" s="31">
        <v>0.95622895622895621</v>
      </c>
      <c r="DM103" s="31">
        <v>0.93132328308207701</v>
      </c>
      <c r="DN103" s="31">
        <v>0.92896159404506506</v>
      </c>
      <c r="DO103" s="31">
        <v>0.88500000000000001</v>
      </c>
      <c r="DP103" s="31">
        <v>0.90878938640132667</v>
      </c>
      <c r="DQ103" s="31">
        <v>0.87603305785123964</v>
      </c>
      <c r="DR103" s="31">
        <v>0.9092409240924092</v>
      </c>
      <c r="DS103" s="31">
        <v>0.90166666666666662</v>
      </c>
      <c r="DT103" s="31">
        <v>0.93687707641196016</v>
      </c>
      <c r="DU103" s="31">
        <v>0.89649415692821366</v>
      </c>
      <c r="DV103" s="31">
        <v>0.90201446690740228</v>
      </c>
      <c r="DW103" s="31">
        <v>0.92166666666666663</v>
      </c>
      <c r="DX103" s="31">
        <v>0.91333333333333333</v>
      </c>
      <c r="DY103" s="31">
        <v>0.86522462562396008</v>
      </c>
      <c r="DZ103" s="31">
        <v>0.85427135678391963</v>
      </c>
      <c r="EA103" s="31">
        <v>0.93624161073825507</v>
      </c>
      <c r="EB103" s="31">
        <v>0.91959798994974873</v>
      </c>
      <c r="EC103" s="31">
        <v>0.93120805369127513</v>
      </c>
      <c r="ED103" s="31">
        <v>0.90593480525530834</v>
      </c>
      <c r="EE103" s="31">
        <v>0.87813021702838068</v>
      </c>
      <c r="EF103" s="31">
        <v>0.89112227805695143</v>
      </c>
      <c r="EG103" s="31">
        <v>0.83527454242928456</v>
      </c>
      <c r="EH103" s="31">
        <v>0.80166666666666664</v>
      </c>
      <c r="EI103" s="31">
        <v>0.91333333333333333</v>
      </c>
      <c r="EJ103" s="31">
        <v>0.89243697478991602</v>
      </c>
      <c r="EK103" s="31">
        <v>0.90833333333333333</v>
      </c>
      <c r="EL103" s="31">
        <v>0.87432819223398084</v>
      </c>
    </row>
    <row r="104" spans="38:142" x14ac:dyDescent="0.35">
      <c r="AL104" s="19" t="s">
        <v>149</v>
      </c>
      <c r="AM104" s="31">
        <v>0.91147540983606556</v>
      </c>
      <c r="AN104" s="31">
        <v>0.92182410423452765</v>
      </c>
      <c r="AO104" s="31">
        <v>0.91390728476821192</v>
      </c>
      <c r="AP104" s="31">
        <v>0.89905362776025233</v>
      </c>
      <c r="AQ104" s="31">
        <v>0.94155844155844159</v>
      </c>
      <c r="AR104" s="31">
        <v>0.93203883495145634</v>
      </c>
      <c r="AS104" s="31">
        <v>0.96794871794871795</v>
      </c>
      <c r="AT104" s="31">
        <v>0.92682948872252491</v>
      </c>
      <c r="AU104" s="31">
        <v>0.95681063122923593</v>
      </c>
      <c r="AV104" s="31">
        <v>0.94498381877022652</v>
      </c>
      <c r="AW104" s="31">
        <v>0.88215488215488214</v>
      </c>
      <c r="AX104" s="31">
        <v>0.90522875816993464</v>
      </c>
      <c r="AY104" s="31">
        <v>0.95681063122923593</v>
      </c>
      <c r="AZ104" s="31">
        <v>0.94117647058823528</v>
      </c>
      <c r="BA104" s="31">
        <v>0.9636963696369637</v>
      </c>
      <c r="BB104" s="31">
        <v>0.93583736596838774</v>
      </c>
      <c r="BC104" s="31">
        <v>0.91076923076923078</v>
      </c>
      <c r="BD104" s="31">
        <v>0.97712418300653592</v>
      </c>
      <c r="BE104" s="31">
        <v>0.87106918238993714</v>
      </c>
      <c r="BF104" s="31">
        <v>0.92131147540983604</v>
      </c>
      <c r="BG104" s="31">
        <v>0.95015576323987538</v>
      </c>
      <c r="BH104" s="31">
        <v>0.93548387096774188</v>
      </c>
      <c r="BI104" s="31">
        <v>0.96463022508038587</v>
      </c>
      <c r="BJ104" s="31">
        <v>0.93293484726622045</v>
      </c>
      <c r="BK104" s="31">
        <v>0.85521885521885521</v>
      </c>
      <c r="BL104" s="31">
        <v>0.96202531645569622</v>
      </c>
      <c r="BM104" s="31">
        <v>0.84789644012944987</v>
      </c>
      <c r="BN104" s="31">
        <v>0.89375000000000004</v>
      </c>
      <c r="BO104" s="31">
        <v>0.90291262135922334</v>
      </c>
      <c r="BP104" s="31">
        <v>0.92356687898089174</v>
      </c>
      <c r="BQ104" s="31">
        <v>0.92651757188498407</v>
      </c>
      <c r="BR104" s="31">
        <v>0.90169824057558579</v>
      </c>
      <c r="BS104" s="31">
        <v>0.90312499999999996</v>
      </c>
      <c r="BT104" s="31">
        <v>0.91772151898734178</v>
      </c>
      <c r="BU104" s="31">
        <v>0.93009118541033431</v>
      </c>
      <c r="BV104" s="31">
        <v>0.94817073170731703</v>
      </c>
      <c r="BW104" s="31">
        <v>0.94409937888198758</v>
      </c>
      <c r="BX104" s="31">
        <v>0.92923076923076919</v>
      </c>
      <c r="BY104" s="31">
        <v>0.96615384615384614</v>
      </c>
      <c r="BZ104" s="31">
        <v>0.93408463291022792</v>
      </c>
      <c r="CA104" s="31">
        <v>0.93770491803278688</v>
      </c>
      <c r="CB104" s="31">
        <v>0.94242424242424239</v>
      </c>
      <c r="CC104" s="31">
        <v>0.8368580060422961</v>
      </c>
      <c r="CD104" s="31">
        <v>0.88291139240506333</v>
      </c>
      <c r="CE104" s="31">
        <v>0.90773809523809523</v>
      </c>
      <c r="CF104" s="31">
        <v>0.94690265486725667</v>
      </c>
      <c r="CG104" s="31">
        <v>0.91940298507462681</v>
      </c>
      <c r="CH104" s="31">
        <v>0.9105631848691953</v>
      </c>
      <c r="CI104" s="31">
        <v>0.8214285714285714</v>
      </c>
      <c r="CJ104" s="31">
        <v>0.94968553459119498</v>
      </c>
      <c r="CK104" s="31">
        <v>0.81710914454277284</v>
      </c>
      <c r="CL104" s="31">
        <v>0.85163204747774479</v>
      </c>
      <c r="CM104" s="31">
        <v>0.83136094674556216</v>
      </c>
      <c r="CN104" s="31">
        <v>0.88235294117647056</v>
      </c>
      <c r="CO104" s="31">
        <v>0.84705882352941175</v>
      </c>
      <c r="CP104" s="31">
        <v>0.85723257278453269</v>
      </c>
      <c r="CQ104" s="31">
        <v>0.92878338278931749</v>
      </c>
      <c r="CR104" s="31">
        <v>0.85250737463126847</v>
      </c>
      <c r="CS104" s="31">
        <v>0.95252225519287836</v>
      </c>
      <c r="CT104" s="31">
        <v>0.94955489614243327</v>
      </c>
      <c r="CU104" s="31">
        <v>0.9258160237388724</v>
      </c>
      <c r="CV104" s="31">
        <v>0.88130563798219586</v>
      </c>
      <c r="CW104" s="31">
        <v>0.91394658753709201</v>
      </c>
      <c r="CX104" s="31">
        <v>0.91491945114486539</v>
      </c>
      <c r="CY104" s="31">
        <v>0.86769230769230765</v>
      </c>
      <c r="CZ104" s="31">
        <v>0.96745562130177509</v>
      </c>
      <c r="DA104" s="31">
        <v>0.87833827893175076</v>
      </c>
      <c r="DB104" s="31">
        <v>0.88130563798219586</v>
      </c>
      <c r="DC104" s="31">
        <v>0.92238805970149251</v>
      </c>
      <c r="DD104" s="31">
        <v>0.96439169139465875</v>
      </c>
      <c r="DE104" s="31">
        <v>0.9285714285714286</v>
      </c>
      <c r="DF104" s="31">
        <v>0.91573471793937278</v>
      </c>
      <c r="DG104" s="31">
        <v>0.86604361370716509</v>
      </c>
      <c r="DH104" s="31">
        <v>0.95136778115501519</v>
      </c>
      <c r="DI104" s="31">
        <v>0.89719626168224298</v>
      </c>
      <c r="DJ104" s="31">
        <v>0.88401253918495293</v>
      </c>
      <c r="DK104" s="31">
        <v>0.87616099071207432</v>
      </c>
      <c r="DL104" s="31">
        <v>0.94545454545454544</v>
      </c>
      <c r="DM104" s="31">
        <v>0.91238670694864044</v>
      </c>
      <c r="DN104" s="31">
        <v>0.90466034840637666</v>
      </c>
      <c r="DO104" s="31">
        <v>0.83841463414634143</v>
      </c>
      <c r="DP104" s="31">
        <v>0.82779456193353473</v>
      </c>
      <c r="DQ104" s="31">
        <v>0.83911671924290221</v>
      </c>
      <c r="DR104" s="31">
        <v>0.8404907975460123</v>
      </c>
      <c r="DS104" s="31">
        <v>0.87195121951219512</v>
      </c>
      <c r="DT104" s="31">
        <v>0.86292834890965731</v>
      </c>
      <c r="DU104" s="31">
        <v>0.89935064935064934</v>
      </c>
      <c r="DV104" s="31">
        <v>0.85429241866304173</v>
      </c>
      <c r="DW104" s="31">
        <v>0.92097264437689974</v>
      </c>
      <c r="DX104" s="31">
        <v>0.85987261146496818</v>
      </c>
      <c r="DY104" s="31">
        <v>0.89538461538461533</v>
      </c>
      <c r="DZ104" s="31">
        <v>0.90519877675840976</v>
      </c>
      <c r="EA104" s="31">
        <v>0.93617021276595747</v>
      </c>
      <c r="EB104" s="31">
        <v>0.96296296296296291</v>
      </c>
      <c r="EC104" s="31">
        <v>0.92966360856269115</v>
      </c>
      <c r="ED104" s="31">
        <v>0.91574649032521493</v>
      </c>
      <c r="EE104" s="31">
        <v>0.89783281733746134</v>
      </c>
      <c r="EF104" s="31">
        <v>0.92705167173252279</v>
      </c>
      <c r="EG104" s="31">
        <v>0.86377708978328172</v>
      </c>
      <c r="EH104" s="31">
        <v>0.8693009118541033</v>
      </c>
      <c r="EI104" s="31">
        <v>0.92569659442724461</v>
      </c>
      <c r="EJ104" s="31">
        <v>0.95987654320987659</v>
      </c>
      <c r="EK104" s="31">
        <v>0.95136778115501519</v>
      </c>
      <c r="EL104" s="31">
        <v>0.91355762992850076</v>
      </c>
    </row>
    <row r="105" spans="38:142" x14ac:dyDescent="0.35">
      <c r="AL105" s="19" t="s">
        <v>150</v>
      </c>
      <c r="AM105" s="31">
        <v>0.79635499207606975</v>
      </c>
      <c r="AN105" s="31">
        <v>0.75473186119873814</v>
      </c>
      <c r="AO105" s="31">
        <v>0.75544794188861986</v>
      </c>
      <c r="AP105" s="31">
        <v>0.76171243941841682</v>
      </c>
      <c r="AQ105" s="31">
        <v>0.80297107114933541</v>
      </c>
      <c r="AR105" s="31">
        <v>0.77900552486187846</v>
      </c>
      <c r="AS105" s="31">
        <v>0.80476190476190479</v>
      </c>
      <c r="AT105" s="31">
        <v>0.77928367647928043</v>
      </c>
      <c r="AU105" s="31">
        <v>0.8318863456985004</v>
      </c>
      <c r="AV105" s="31">
        <v>0.77795400475812848</v>
      </c>
      <c r="AW105" s="31">
        <v>0.78415521422797085</v>
      </c>
      <c r="AX105" s="31">
        <v>0.7927927927927928</v>
      </c>
      <c r="AY105" s="31">
        <v>0.81342701014832164</v>
      </c>
      <c r="AZ105" s="31">
        <v>0.81046788263283109</v>
      </c>
      <c r="BA105" s="31">
        <v>0.82311320754716977</v>
      </c>
      <c r="BB105" s="31">
        <v>0.80482806540081631</v>
      </c>
      <c r="BC105" s="31">
        <v>0.81969817315329629</v>
      </c>
      <c r="BD105" s="31">
        <v>0.8026624902114331</v>
      </c>
      <c r="BE105" s="31">
        <v>0.76521739130434785</v>
      </c>
      <c r="BF105" s="31">
        <v>0.77552674230145868</v>
      </c>
      <c r="BG105" s="31">
        <v>0.8198903680501175</v>
      </c>
      <c r="BH105" s="31">
        <v>0.78922716627634659</v>
      </c>
      <c r="BI105" s="31">
        <v>0.81754111198120594</v>
      </c>
      <c r="BJ105" s="31">
        <v>0.79853763475402939</v>
      </c>
      <c r="BK105" s="31">
        <v>0.56426332288401249</v>
      </c>
      <c r="BL105" s="31">
        <v>0.79020979020979021</v>
      </c>
      <c r="BM105" s="31">
        <v>0.58903020667726547</v>
      </c>
      <c r="BN105" s="31">
        <v>0.64065040650406502</v>
      </c>
      <c r="BO105" s="31">
        <v>0.69224745497259199</v>
      </c>
      <c r="BP105" s="31">
        <v>0.78020265003897116</v>
      </c>
      <c r="BQ105" s="31">
        <v>0.75562451512800621</v>
      </c>
      <c r="BR105" s="31">
        <v>0.68746119234495751</v>
      </c>
      <c r="BS105" s="31">
        <v>0.70461783439490444</v>
      </c>
      <c r="BT105" s="31">
        <v>0.66328125000000004</v>
      </c>
      <c r="BU105" s="31">
        <v>0.73867313915857602</v>
      </c>
      <c r="BV105" s="31">
        <v>0.75081967213114753</v>
      </c>
      <c r="BW105" s="31">
        <v>0.76313725490196083</v>
      </c>
      <c r="BX105" s="31">
        <v>0.71529411764705886</v>
      </c>
      <c r="BY105" s="31">
        <v>0.75313479623824453</v>
      </c>
      <c r="BZ105" s="31">
        <v>0.72699400921027035</v>
      </c>
      <c r="CA105" s="31">
        <v>0.81123244929797189</v>
      </c>
      <c r="CB105" s="31">
        <v>0.76746031746031751</v>
      </c>
      <c r="CC105" s="31">
        <v>0.78826328310864391</v>
      </c>
      <c r="CD105" s="31">
        <v>0.80759902991107513</v>
      </c>
      <c r="CE105" s="31">
        <v>0.79905437352245867</v>
      </c>
      <c r="CF105" s="31">
        <v>0.80952380952380953</v>
      </c>
      <c r="CG105" s="31">
        <v>0.8305621536025336</v>
      </c>
      <c r="CH105" s="31">
        <v>0.80195648806097286</v>
      </c>
      <c r="CI105" s="31">
        <v>0.78409976617303201</v>
      </c>
      <c r="CJ105" s="31">
        <v>0.81074766355140182</v>
      </c>
      <c r="CK105" s="31">
        <v>0.76330420969023038</v>
      </c>
      <c r="CL105" s="31">
        <v>0.76885644768856443</v>
      </c>
      <c r="CM105" s="31">
        <v>0.78787878787878785</v>
      </c>
      <c r="CN105" s="31">
        <v>0.82509803921568625</v>
      </c>
      <c r="CO105" s="31">
        <v>0.82357533177205311</v>
      </c>
      <c r="CP105" s="31">
        <v>0.7947943208528222</v>
      </c>
      <c r="CQ105" s="31">
        <v>0.78872120730738682</v>
      </c>
      <c r="CR105" s="31">
        <v>0.77067082683307331</v>
      </c>
      <c r="CS105" s="31">
        <v>0.7924376508447305</v>
      </c>
      <c r="CT105" s="31">
        <v>0.79967293540474249</v>
      </c>
      <c r="CU105" s="31">
        <v>0.79294117647058826</v>
      </c>
      <c r="CV105" s="31">
        <v>0.77169663799843624</v>
      </c>
      <c r="CW105" s="31">
        <v>0.79674166020170678</v>
      </c>
      <c r="CX105" s="31">
        <v>0.78755458500866637</v>
      </c>
      <c r="CY105" s="31">
        <v>0.79277864992150704</v>
      </c>
      <c r="CZ105" s="31">
        <v>0.79025923016496469</v>
      </c>
      <c r="DA105" s="31">
        <v>0.77616747181964574</v>
      </c>
      <c r="DB105" s="31">
        <v>0.78849270664505677</v>
      </c>
      <c r="DC105" s="31">
        <v>0.79199372056514916</v>
      </c>
      <c r="DD105" s="31">
        <v>0.80769230769230771</v>
      </c>
      <c r="DE105" s="31">
        <v>0.79827990617670053</v>
      </c>
      <c r="DF105" s="31">
        <v>0.79223771328361881</v>
      </c>
      <c r="DG105" s="31">
        <v>0.83954619124797403</v>
      </c>
      <c r="DH105" s="31">
        <v>0.79248238057948317</v>
      </c>
      <c r="DI105" s="31">
        <v>0.79670781893004117</v>
      </c>
      <c r="DJ105" s="31">
        <v>0.78464106844741233</v>
      </c>
      <c r="DK105" s="31">
        <v>0.8423645320197044</v>
      </c>
      <c r="DL105" s="31">
        <v>0.81316003249390745</v>
      </c>
      <c r="DM105" s="31">
        <v>0.81475409836065571</v>
      </c>
      <c r="DN105" s="31">
        <v>0.81195087458273996</v>
      </c>
      <c r="DO105" s="31">
        <v>0.80131362889983582</v>
      </c>
      <c r="DP105" s="31">
        <v>0.78102189781021902</v>
      </c>
      <c r="DQ105" s="31">
        <v>0.7828618968386023</v>
      </c>
      <c r="DR105" s="31">
        <v>0.80016722408026753</v>
      </c>
      <c r="DS105" s="31">
        <v>0.80197206244864416</v>
      </c>
      <c r="DT105" s="31">
        <v>0.81219512195121957</v>
      </c>
      <c r="DU105" s="31">
        <v>0.80424143556280592</v>
      </c>
      <c r="DV105" s="31">
        <v>0.79768189537022771</v>
      </c>
      <c r="DW105" s="31">
        <v>0.80487804878048785</v>
      </c>
      <c r="DX105" s="31">
        <v>0.8111201962387572</v>
      </c>
      <c r="DY105" s="31">
        <v>0.8097643097643098</v>
      </c>
      <c r="DZ105" s="31">
        <v>0.81324278438030562</v>
      </c>
      <c r="EA105" s="31">
        <v>0.7990314769975787</v>
      </c>
      <c r="EB105" s="31">
        <v>0.80454176804541766</v>
      </c>
      <c r="EC105" s="31">
        <v>0.78565672844480261</v>
      </c>
      <c r="ED105" s="31">
        <v>0.80403361609309421</v>
      </c>
      <c r="EE105" s="31">
        <v>0.81038552321007085</v>
      </c>
      <c r="EF105" s="31">
        <v>0.82430213464696223</v>
      </c>
      <c r="EG105" s="31">
        <v>0.79169992019154034</v>
      </c>
      <c r="EH105" s="31">
        <v>0.78980891719745228</v>
      </c>
      <c r="EI105" s="31">
        <v>0.82734375000000004</v>
      </c>
      <c r="EJ105" s="31">
        <v>0.84387510008006406</v>
      </c>
      <c r="EK105" s="31">
        <v>0.83306962025316456</v>
      </c>
      <c r="EL105" s="31">
        <v>0.81721213793989345</v>
      </c>
    </row>
    <row r="106" spans="38:142" x14ac:dyDescent="0.35">
      <c r="AL106" s="19" t="s">
        <v>151</v>
      </c>
      <c r="AM106" s="31">
        <v>0.88611111111111107</v>
      </c>
      <c r="AN106" s="31">
        <v>0.77521613832853031</v>
      </c>
      <c r="AO106" s="31">
        <v>0.85633802816901405</v>
      </c>
      <c r="AP106" s="31">
        <v>0.89415041782729809</v>
      </c>
      <c r="AQ106" s="31">
        <v>0.85087719298245612</v>
      </c>
      <c r="AR106" s="31">
        <v>0.78488372093023251</v>
      </c>
      <c r="AS106" s="31">
        <v>0.85538461538461541</v>
      </c>
      <c r="AT106" s="31">
        <v>0.84328017496189389</v>
      </c>
      <c r="AU106" s="31">
        <v>0.93206521739130432</v>
      </c>
      <c r="AV106" s="31">
        <v>0.9022346368715084</v>
      </c>
      <c r="AW106" s="31">
        <v>0.93188010899182561</v>
      </c>
      <c r="AX106" s="31">
        <v>0.92817679558011046</v>
      </c>
      <c r="AY106" s="31">
        <v>0.9375</v>
      </c>
      <c r="AZ106" s="31">
        <v>0.91032608695652173</v>
      </c>
      <c r="BA106" s="31">
        <v>0.86376021798365121</v>
      </c>
      <c r="BB106" s="31">
        <v>0.91513472339641755</v>
      </c>
      <c r="BC106" s="31">
        <v>0.87371134020618557</v>
      </c>
      <c r="BD106" s="31">
        <v>0.93333333333333335</v>
      </c>
      <c r="BE106" s="31">
        <v>0.89847715736040612</v>
      </c>
      <c r="BF106" s="31">
        <v>0.94472361809045224</v>
      </c>
      <c r="BG106" s="31">
        <v>0.89501312335958005</v>
      </c>
      <c r="BH106" s="31">
        <v>0.93882978723404253</v>
      </c>
      <c r="BI106" s="31">
        <v>0.9322493224932249</v>
      </c>
      <c r="BJ106" s="31">
        <v>0.91661966886817503</v>
      </c>
      <c r="BK106" s="31">
        <v>0.86178861788617889</v>
      </c>
      <c r="BL106" s="31">
        <v>0.95214105793450876</v>
      </c>
      <c r="BM106" s="31">
        <v>0.89560439560439564</v>
      </c>
      <c r="BN106" s="31">
        <v>0.91530054644808745</v>
      </c>
      <c r="BO106" s="31">
        <v>0.93684210526315792</v>
      </c>
      <c r="BP106" s="31">
        <v>0.97969543147208127</v>
      </c>
      <c r="BQ106" s="31">
        <v>0.94722955145118737</v>
      </c>
      <c r="BR106" s="31">
        <v>0.92694310086565679</v>
      </c>
      <c r="BS106" s="31">
        <v>0.90404040404040409</v>
      </c>
      <c r="BT106" s="31">
        <v>0.9285714285714286</v>
      </c>
      <c r="BU106" s="31">
        <v>0.93401015228426398</v>
      </c>
      <c r="BV106" s="31">
        <v>0.93924050632911393</v>
      </c>
      <c r="BW106" s="31">
        <v>0.91022443890274318</v>
      </c>
      <c r="BX106" s="31">
        <v>0.93211488250652741</v>
      </c>
      <c r="BY106" s="31">
        <v>0.93193717277486909</v>
      </c>
      <c r="BZ106" s="31">
        <v>0.92573414077276428</v>
      </c>
      <c r="CA106" s="31">
        <v>0.84840425531914898</v>
      </c>
      <c r="CB106" s="31">
        <v>0.93216080402010049</v>
      </c>
      <c r="CC106" s="31">
        <v>0.82795698924731187</v>
      </c>
      <c r="CD106" s="31">
        <v>0.81318681318681318</v>
      </c>
      <c r="CE106" s="31">
        <v>0.64646464646464652</v>
      </c>
      <c r="CF106" s="31">
        <v>0.96163682864450128</v>
      </c>
      <c r="CG106" s="31">
        <v>0.89646464646464652</v>
      </c>
      <c r="CH106" s="31">
        <v>0.84661071190673842</v>
      </c>
      <c r="CI106" s="31">
        <v>0.85519125683060104</v>
      </c>
      <c r="CJ106" s="31">
        <v>0.86554621848739499</v>
      </c>
      <c r="CK106" s="31">
        <v>0.89226519337016574</v>
      </c>
      <c r="CL106" s="31">
        <v>0.88300835654596099</v>
      </c>
      <c r="CM106" s="31">
        <v>0.84426229508196726</v>
      </c>
      <c r="CN106" s="31">
        <v>0.91193181818181823</v>
      </c>
      <c r="CO106" s="31">
        <v>0.91477272727272729</v>
      </c>
      <c r="CP106" s="31">
        <v>0.8809968379672336</v>
      </c>
      <c r="CQ106" s="31">
        <v>0.91291291291291288</v>
      </c>
      <c r="CR106" s="31">
        <v>0.90250696378830086</v>
      </c>
      <c r="CS106" s="31">
        <v>0.90476190476190477</v>
      </c>
      <c r="CT106" s="31">
        <v>0.94328358208955221</v>
      </c>
      <c r="CU106" s="31">
        <v>0.90214067278287458</v>
      </c>
      <c r="CV106" s="31">
        <v>0.97118155619596547</v>
      </c>
      <c r="CW106" s="31">
        <v>0.92178770949720668</v>
      </c>
      <c r="CX106" s="31">
        <v>0.92265361457553119</v>
      </c>
      <c r="CY106" s="31">
        <v>0.86430678466076694</v>
      </c>
      <c r="CZ106" s="31">
        <v>0.93313069908814594</v>
      </c>
      <c r="DA106" s="31">
        <v>0.88427299703264095</v>
      </c>
      <c r="DB106" s="31">
        <v>0.9017857142857143</v>
      </c>
      <c r="DC106" s="31">
        <v>0.91202346041055715</v>
      </c>
      <c r="DD106" s="31">
        <v>0.96048632218844987</v>
      </c>
      <c r="DE106" s="31">
        <v>0.95508982035928147</v>
      </c>
      <c r="DF106" s="31">
        <v>0.91587082828936517</v>
      </c>
      <c r="DG106" s="31">
        <v>0.88695652173913042</v>
      </c>
      <c r="DH106" s="31">
        <v>0.89795918367346939</v>
      </c>
      <c r="DI106" s="31">
        <v>0.93255131964809379</v>
      </c>
      <c r="DJ106" s="31">
        <v>0.88596491228070173</v>
      </c>
      <c r="DK106" s="31">
        <v>0.91860465116279066</v>
      </c>
      <c r="DL106" s="31">
        <v>0.96511627906976749</v>
      </c>
      <c r="DM106" s="31">
        <v>0.94117647058823528</v>
      </c>
      <c r="DN106" s="31">
        <v>0.91833276259459851</v>
      </c>
      <c r="DO106" s="31">
        <v>0.86645962732919257</v>
      </c>
      <c r="DP106" s="31">
        <v>0.92073170731707321</v>
      </c>
      <c r="DQ106" s="31">
        <v>0.87464387464387461</v>
      </c>
      <c r="DR106" s="31">
        <v>0.92877492877492873</v>
      </c>
      <c r="DS106" s="31">
        <v>0.8379204892966361</v>
      </c>
      <c r="DT106" s="31">
        <v>0.9250720461095101</v>
      </c>
      <c r="DU106" s="31">
        <v>0.91193181818181823</v>
      </c>
      <c r="DV106" s="31">
        <v>0.89507635595043333</v>
      </c>
      <c r="DW106" s="31">
        <v>0.93352601156069359</v>
      </c>
      <c r="DX106" s="31">
        <v>0.94571428571428573</v>
      </c>
      <c r="DY106" s="31">
        <v>0.93239436619718308</v>
      </c>
      <c r="DZ106" s="31">
        <v>0.92351274787535409</v>
      </c>
      <c r="EA106" s="31">
        <v>0.89942528735632188</v>
      </c>
      <c r="EB106" s="31">
        <v>0.93002915451895041</v>
      </c>
      <c r="EC106" s="31">
        <v>0.88034188034188032</v>
      </c>
      <c r="ED106" s="31">
        <v>0.92070624765209552</v>
      </c>
      <c r="EE106" s="31">
        <v>0.92836676217765046</v>
      </c>
      <c r="EF106" s="31">
        <v>0.93181818181818177</v>
      </c>
      <c r="EG106" s="31">
        <v>0.88365650969529086</v>
      </c>
      <c r="EH106" s="31">
        <v>0.91712707182320441</v>
      </c>
      <c r="EI106" s="31">
        <v>0.92372881355932202</v>
      </c>
      <c r="EJ106" s="31">
        <v>0.96</v>
      </c>
      <c r="EK106" s="31">
        <v>0.92394366197183098</v>
      </c>
      <c r="EL106" s="31">
        <v>0.92409157157792576</v>
      </c>
    </row>
    <row r="107" spans="38:142" x14ac:dyDescent="0.35">
      <c r="AL107" s="19" t="s">
        <v>263</v>
      </c>
      <c r="AM107" s="31">
        <v>0.94779116465863456</v>
      </c>
      <c r="AN107" s="31">
        <v>0.91570881226053635</v>
      </c>
      <c r="AO107" s="31">
        <v>0.89504950495049507</v>
      </c>
      <c r="AP107" s="31">
        <v>0.93415637860082301</v>
      </c>
      <c r="AQ107" s="31">
        <v>0.93448940269749514</v>
      </c>
      <c r="AR107" s="31">
        <v>0.93822393822393824</v>
      </c>
      <c r="AS107" s="31">
        <v>0.93542074363992167</v>
      </c>
      <c r="AT107" s="31">
        <v>0.92869142071883481</v>
      </c>
      <c r="AU107" s="31">
        <v>0.958984375</v>
      </c>
      <c r="AV107" s="31">
        <v>0.92263056092843332</v>
      </c>
      <c r="AW107" s="31">
        <v>0.95019920318725104</v>
      </c>
      <c r="AX107" s="31">
        <v>0.92277227722772281</v>
      </c>
      <c r="AY107" s="31">
        <v>0.93873517786561267</v>
      </c>
      <c r="AZ107" s="31">
        <v>0.91221374045801529</v>
      </c>
      <c r="BA107" s="31">
        <v>0.94847328244274809</v>
      </c>
      <c r="BB107" s="31">
        <v>0.93628694530139767</v>
      </c>
      <c r="BC107" s="31">
        <v>0.94368932038834952</v>
      </c>
      <c r="BD107" s="31">
        <v>0.93737769080234834</v>
      </c>
      <c r="BE107" s="31">
        <v>0.91848906560636179</v>
      </c>
      <c r="BF107" s="31">
        <v>0.90625</v>
      </c>
      <c r="BG107" s="31">
        <v>0.94197292069632499</v>
      </c>
      <c r="BH107" s="31">
        <v>0.94082840236686394</v>
      </c>
      <c r="BI107" s="31">
        <v>0.94026974951830444</v>
      </c>
      <c r="BJ107" s="31">
        <v>0.9326967356255077</v>
      </c>
      <c r="BK107" s="31">
        <v>0.80867850098619332</v>
      </c>
      <c r="BL107" s="31">
        <v>0.90625</v>
      </c>
      <c r="BM107" s="31">
        <v>0.82235528942115765</v>
      </c>
      <c r="BN107" s="31">
        <v>0.8467583497053045</v>
      </c>
      <c r="BO107" s="31">
        <v>0.87524366471734893</v>
      </c>
      <c r="BP107" s="31">
        <v>0.92397660818713445</v>
      </c>
      <c r="BQ107" s="31">
        <v>0.9017681728880157</v>
      </c>
      <c r="BR107" s="31">
        <v>0.86929008370073624</v>
      </c>
      <c r="BS107" s="31">
        <v>0.88223938223938225</v>
      </c>
      <c r="BT107" s="31">
        <v>0.85968379446640319</v>
      </c>
      <c r="BU107" s="31">
        <v>0.90099009900990101</v>
      </c>
      <c r="BV107" s="31">
        <v>0.91566265060240959</v>
      </c>
      <c r="BW107" s="31">
        <v>0.87766990291262137</v>
      </c>
      <c r="BX107" s="31">
        <v>0.90413533834586468</v>
      </c>
      <c r="BY107" s="31">
        <v>0.91428571428571426</v>
      </c>
      <c r="BZ107" s="31">
        <v>0.89352384026604237</v>
      </c>
      <c r="CA107" s="31">
        <v>0.92649903288201163</v>
      </c>
      <c r="CB107" s="31">
        <v>0.93641618497109824</v>
      </c>
      <c r="CC107" s="31">
        <v>0.90170132325141772</v>
      </c>
      <c r="CD107" s="31">
        <v>0.88475836431226762</v>
      </c>
      <c r="CE107" s="31">
        <v>0.92441860465116277</v>
      </c>
      <c r="CF107" s="31">
        <v>0.92452830188679247</v>
      </c>
      <c r="CG107" s="31">
        <v>0.88657844990548207</v>
      </c>
      <c r="CH107" s="31">
        <v>0.91212860883717595</v>
      </c>
      <c r="CI107" s="31">
        <v>0.92817679558011046</v>
      </c>
      <c r="CJ107" s="31">
        <v>0.90737240075614367</v>
      </c>
      <c r="CK107" s="31">
        <v>0.89532710280373828</v>
      </c>
      <c r="CL107" s="31">
        <v>0.87732342007434949</v>
      </c>
      <c r="CM107" s="31">
        <v>0.90370370370370368</v>
      </c>
      <c r="CN107" s="31">
        <v>0.92066420664206639</v>
      </c>
      <c r="CO107" s="31">
        <v>0.89686924493554332</v>
      </c>
      <c r="CP107" s="31">
        <v>0.90420526778509358</v>
      </c>
      <c r="CQ107" s="31">
        <v>0.92427184466019419</v>
      </c>
      <c r="CR107" s="31">
        <v>0.89413988657844989</v>
      </c>
      <c r="CS107" s="31">
        <v>0.87380497131931167</v>
      </c>
      <c r="CT107" s="31">
        <v>0.93307839388145319</v>
      </c>
      <c r="CU107" s="31">
        <v>0.94685039370078738</v>
      </c>
      <c r="CV107" s="31">
        <v>0.89312977099236646</v>
      </c>
      <c r="CW107" s="31">
        <v>0.9191321499013807</v>
      </c>
      <c r="CX107" s="31">
        <v>0.91205820157627759</v>
      </c>
      <c r="CY107" s="31">
        <v>0.90267175572519087</v>
      </c>
      <c r="CZ107" s="31">
        <v>0.94128787878787878</v>
      </c>
      <c r="DA107" s="31">
        <v>0.89943074003795065</v>
      </c>
      <c r="DB107" s="31">
        <v>0.87827715355805247</v>
      </c>
      <c r="DC107" s="31">
        <v>0.89035916824196593</v>
      </c>
      <c r="DD107" s="31">
        <v>0.92911877394636011</v>
      </c>
      <c r="DE107" s="31">
        <v>0.93577981651376152</v>
      </c>
      <c r="DF107" s="31">
        <v>0.9109893266873087</v>
      </c>
      <c r="DG107" s="31">
        <v>0.88076923076923075</v>
      </c>
      <c r="DH107" s="31">
        <v>0.87523277467411542</v>
      </c>
      <c r="DI107" s="31">
        <v>0.90838206627680307</v>
      </c>
      <c r="DJ107" s="31">
        <v>0.88304093567251463</v>
      </c>
      <c r="DK107" s="31">
        <v>0.9196261682242991</v>
      </c>
      <c r="DL107" s="31">
        <v>0.9</v>
      </c>
      <c r="DM107" s="31">
        <v>0.87686567164179108</v>
      </c>
      <c r="DN107" s="31">
        <v>0.8919881210369649</v>
      </c>
      <c r="DO107" s="31">
        <v>0.86826347305389218</v>
      </c>
      <c r="DP107" s="31">
        <v>0.91713747645951038</v>
      </c>
      <c r="DQ107" s="31">
        <v>0.86519114688128773</v>
      </c>
      <c r="DR107" s="31">
        <v>0.86546184738955823</v>
      </c>
      <c r="DS107" s="31">
        <v>0.84774436090225569</v>
      </c>
      <c r="DT107" s="31">
        <v>0.86692015209125473</v>
      </c>
      <c r="DU107" s="31">
        <v>0.84469696969696972</v>
      </c>
      <c r="DV107" s="31">
        <v>0.86791648949638989</v>
      </c>
      <c r="DW107" s="31">
        <v>0.83270676691729328</v>
      </c>
      <c r="DX107" s="31">
        <v>0.86405959031657353</v>
      </c>
      <c r="DY107" s="31">
        <v>0.83548983364140483</v>
      </c>
      <c r="DZ107" s="31">
        <v>0.83364140480591498</v>
      </c>
      <c r="EA107" s="31">
        <v>0.83612662942271876</v>
      </c>
      <c r="EB107" s="31">
        <v>0.85365853658536583</v>
      </c>
      <c r="EC107" s="31">
        <v>0.81191806331471139</v>
      </c>
      <c r="ED107" s="31">
        <v>0.83822868928628314</v>
      </c>
      <c r="EE107" s="31">
        <v>0.89413988657844989</v>
      </c>
      <c r="EF107" s="31">
        <v>0.93293885601577908</v>
      </c>
      <c r="EG107" s="31">
        <v>0.84761904761904761</v>
      </c>
      <c r="EH107" s="31">
        <v>0.85283018867924532</v>
      </c>
      <c r="EI107" s="31">
        <v>0.89118198874296439</v>
      </c>
      <c r="EJ107" s="31">
        <v>0.903353057199211</v>
      </c>
      <c r="EK107" s="31">
        <v>0.90093457943925237</v>
      </c>
      <c r="EL107" s="31">
        <v>0.88899965775342138</v>
      </c>
    </row>
    <row r="108" spans="38:142" x14ac:dyDescent="0.35">
      <c r="AL108" s="19" t="s">
        <v>152</v>
      </c>
      <c r="AM108" s="31">
        <v>0.88388625592417058</v>
      </c>
      <c r="AN108" s="31">
        <v>0.87990762124711319</v>
      </c>
      <c r="AO108" s="31">
        <v>0.87412587412587417</v>
      </c>
      <c r="AP108" s="31">
        <v>0.8906976744186047</v>
      </c>
      <c r="AQ108" s="31">
        <v>0.90023201856148494</v>
      </c>
      <c r="AR108" s="31">
        <v>0.95497630331753558</v>
      </c>
      <c r="AS108" s="31">
        <v>0.89671361502347413</v>
      </c>
      <c r="AT108" s="31">
        <v>0.89721990894546533</v>
      </c>
      <c r="AU108" s="31">
        <v>0.89953271028037385</v>
      </c>
      <c r="AV108" s="31">
        <v>0.89351851851851849</v>
      </c>
      <c r="AW108" s="31">
        <v>0.89351851851851849</v>
      </c>
      <c r="AX108" s="31">
        <v>0.89953271028037385</v>
      </c>
      <c r="AY108" s="31">
        <v>0.87529411764705878</v>
      </c>
      <c r="AZ108" s="31">
        <v>0.91489361702127658</v>
      </c>
      <c r="BA108" s="31">
        <v>0.90675990675990681</v>
      </c>
      <c r="BB108" s="31">
        <v>0.89757858557514669</v>
      </c>
      <c r="BC108" s="31">
        <v>0.91873589164785552</v>
      </c>
      <c r="BD108" s="31">
        <v>0.91822429906542058</v>
      </c>
      <c r="BE108" s="31">
        <v>0.89366515837104077</v>
      </c>
      <c r="BF108" s="31">
        <v>0.93518518518518523</v>
      </c>
      <c r="BG108" s="31">
        <v>0.96551724137931039</v>
      </c>
      <c r="BH108" s="31">
        <v>0.9269406392694064</v>
      </c>
      <c r="BI108" s="31">
        <v>0.96330275229357798</v>
      </c>
      <c r="BJ108" s="31">
        <v>0.93165302388739968</v>
      </c>
      <c r="BK108" s="31">
        <v>0.80522565320665085</v>
      </c>
      <c r="BL108" s="31">
        <v>0.89678899082568808</v>
      </c>
      <c r="BM108" s="31">
        <v>0.81971153846153844</v>
      </c>
      <c r="BN108" s="31">
        <v>0.93285371702637887</v>
      </c>
      <c r="BO108" s="31">
        <v>0.87045454545454548</v>
      </c>
      <c r="BP108" s="31">
        <v>0.91304347826086951</v>
      </c>
      <c r="BQ108" s="31">
        <v>0.87191011235955052</v>
      </c>
      <c r="BR108" s="31">
        <v>0.87285543365646034</v>
      </c>
      <c r="BS108" s="31">
        <v>0.9035874439461884</v>
      </c>
      <c r="BT108" s="31">
        <v>0.92705882352941171</v>
      </c>
      <c r="BU108" s="31">
        <v>0.92982456140350878</v>
      </c>
      <c r="BV108" s="31">
        <v>0.91868131868131864</v>
      </c>
      <c r="BW108" s="31">
        <v>0.94260485651214132</v>
      </c>
      <c r="BX108" s="31">
        <v>0.95899772209567202</v>
      </c>
      <c r="BY108" s="31">
        <v>0.96008869179600886</v>
      </c>
      <c r="BZ108" s="31">
        <v>0.93440620256632134</v>
      </c>
      <c r="CA108" s="31">
        <v>0.95881006864988561</v>
      </c>
      <c r="CB108" s="31">
        <v>0.92699115044247793</v>
      </c>
      <c r="CC108" s="31">
        <v>0.94808126410835214</v>
      </c>
      <c r="CD108" s="31">
        <v>0.93438914027149322</v>
      </c>
      <c r="CE108" s="31">
        <v>0.94482758620689655</v>
      </c>
      <c r="CF108" s="31">
        <v>0.95111111111111113</v>
      </c>
      <c r="CG108" s="31">
        <v>0.96355353075170846</v>
      </c>
      <c r="CH108" s="31">
        <v>0.94682340736313209</v>
      </c>
      <c r="CI108" s="31">
        <v>0.87104072398190047</v>
      </c>
      <c r="CJ108" s="31">
        <v>0.96179775280898872</v>
      </c>
      <c r="CK108" s="31">
        <v>0.88505747126436785</v>
      </c>
      <c r="CL108" s="31">
        <v>0.86605080831408776</v>
      </c>
      <c r="CM108" s="31">
        <v>0.89686098654708524</v>
      </c>
      <c r="CN108" s="31">
        <v>0.94285714285714284</v>
      </c>
      <c r="CO108" s="31">
        <v>0.95121951219512191</v>
      </c>
      <c r="CP108" s="31">
        <v>0.91069777113838501</v>
      </c>
      <c r="CQ108" s="31">
        <v>0.91571753986332571</v>
      </c>
      <c r="CR108" s="31">
        <v>0.90846681922196793</v>
      </c>
      <c r="CS108" s="31">
        <v>0.94700460829493083</v>
      </c>
      <c r="CT108" s="31">
        <v>0.96543778801843316</v>
      </c>
      <c r="CU108" s="31">
        <v>0.94418604651162785</v>
      </c>
      <c r="CV108" s="31">
        <v>0.92873563218390809</v>
      </c>
      <c r="CW108" s="31">
        <v>0.95194508009153322</v>
      </c>
      <c r="CX108" s="31">
        <v>0.93735621631224675</v>
      </c>
      <c r="CY108" s="31">
        <v>0.92584269662921348</v>
      </c>
      <c r="CZ108" s="31">
        <v>0.9567198177676538</v>
      </c>
      <c r="DA108" s="31">
        <v>0.91818181818181821</v>
      </c>
      <c r="DB108" s="31">
        <v>0.90271493212669685</v>
      </c>
      <c r="DC108" s="31">
        <v>0.95227272727272727</v>
      </c>
      <c r="DD108" s="31">
        <v>0.94104308390022673</v>
      </c>
      <c r="DE108" s="31">
        <v>0.96091954022988502</v>
      </c>
      <c r="DF108" s="31">
        <v>0.93681351658688883</v>
      </c>
      <c r="DG108" s="31">
        <v>0.90389016018306634</v>
      </c>
      <c r="DH108" s="31">
        <v>0.90497737556561086</v>
      </c>
      <c r="DI108" s="31">
        <v>0.84722222222222221</v>
      </c>
      <c r="DJ108" s="31">
        <v>0.88888888888888884</v>
      </c>
      <c r="DK108" s="31">
        <v>0.87045454545454548</v>
      </c>
      <c r="DL108" s="31">
        <v>0.90723981900452488</v>
      </c>
      <c r="DM108" s="31">
        <v>0.88636363636363635</v>
      </c>
      <c r="DN108" s="31">
        <v>0.88700523538321363</v>
      </c>
      <c r="DO108" s="31">
        <v>0.86605080831408776</v>
      </c>
      <c r="DP108" s="31">
        <v>0.89702517162471396</v>
      </c>
      <c r="DQ108" s="31">
        <v>0.81542056074766356</v>
      </c>
      <c r="DR108" s="31">
        <v>0.83526682134570762</v>
      </c>
      <c r="DS108" s="31">
        <v>0.90866510538641687</v>
      </c>
      <c r="DT108" s="31">
        <v>0.90993071593533492</v>
      </c>
      <c r="DU108" s="31">
        <v>0.90531177829099307</v>
      </c>
      <c r="DV108" s="31">
        <v>0.8768101373778453</v>
      </c>
      <c r="DW108" s="31">
        <v>0.90509259259259256</v>
      </c>
      <c r="DX108" s="31">
        <v>0.83870967741935487</v>
      </c>
      <c r="DY108" s="31">
        <v>0.86150234741784038</v>
      </c>
      <c r="DZ108" s="31">
        <v>0.84869976359338062</v>
      </c>
      <c r="EA108" s="31">
        <v>0.90762124711316394</v>
      </c>
      <c r="EB108" s="31">
        <v>0.89485981308411211</v>
      </c>
      <c r="EC108" s="31">
        <v>0.89277389277389274</v>
      </c>
      <c r="ED108" s="31">
        <v>0.87846561914204824</v>
      </c>
      <c r="EE108" s="31">
        <v>0.88480392156862742</v>
      </c>
      <c r="EF108" s="31">
        <v>0.91105769230769229</v>
      </c>
      <c r="EG108" s="31">
        <v>0.90072639225181594</v>
      </c>
      <c r="EH108" s="31">
        <v>0.89638554216867472</v>
      </c>
      <c r="EI108" s="31">
        <v>0.87922705314009664</v>
      </c>
      <c r="EJ108" s="31">
        <v>0.92530120481927713</v>
      </c>
      <c r="EK108" s="31">
        <v>0.90533980582524276</v>
      </c>
      <c r="EL108" s="31">
        <v>0.900405944583061</v>
      </c>
    </row>
    <row r="109" spans="38:142" x14ac:dyDescent="0.35">
      <c r="AL109" s="19" t="s">
        <v>153</v>
      </c>
      <c r="AM109" s="31">
        <v>0.8004866180048662</v>
      </c>
      <c r="AN109" s="31">
        <v>0.79480840543881337</v>
      </c>
      <c r="AO109" s="31">
        <v>0.79318734793187351</v>
      </c>
      <c r="AP109" s="31">
        <v>0.82116788321167888</v>
      </c>
      <c r="AQ109" s="31">
        <v>0.81705809641532756</v>
      </c>
      <c r="AR109" s="31">
        <v>0.8022249690976514</v>
      </c>
      <c r="AS109" s="31">
        <v>0.81582200247218783</v>
      </c>
      <c r="AT109" s="31">
        <v>0.80639361751034266</v>
      </c>
      <c r="AU109" s="31">
        <v>0.8012048192771084</v>
      </c>
      <c r="AV109" s="31">
        <v>0.81143552311435518</v>
      </c>
      <c r="AW109" s="31">
        <v>0.81445783132530125</v>
      </c>
      <c r="AX109" s="31">
        <v>0.82650602409638552</v>
      </c>
      <c r="AY109" s="31">
        <v>0.81204819277108431</v>
      </c>
      <c r="AZ109" s="31">
        <v>0.83012048192771082</v>
      </c>
      <c r="BA109" s="31">
        <v>0.83132530120481929</v>
      </c>
      <c r="BB109" s="31">
        <v>0.81815688195953784</v>
      </c>
      <c r="BC109" s="31">
        <v>0.80602409638554218</v>
      </c>
      <c r="BD109" s="31">
        <v>0.81807228915662655</v>
      </c>
      <c r="BE109" s="31">
        <v>0.80361445783132535</v>
      </c>
      <c r="BF109" s="31">
        <v>0.80361445783132535</v>
      </c>
      <c r="BG109" s="31">
        <v>0.81927710843373491</v>
      </c>
      <c r="BH109" s="31">
        <v>0.83493975903614459</v>
      </c>
      <c r="BI109" s="31">
        <v>0.83012048192771082</v>
      </c>
      <c r="BJ109" s="31">
        <v>0.81652323580034414</v>
      </c>
      <c r="BK109" s="31">
        <v>0.70470588235294118</v>
      </c>
      <c r="BL109" s="31">
        <v>0.7831325301204819</v>
      </c>
      <c r="BM109" s="31">
        <v>0.70823529411764707</v>
      </c>
      <c r="BN109" s="31">
        <v>0.72823529411764709</v>
      </c>
      <c r="BO109" s="31">
        <v>0.76823529411764702</v>
      </c>
      <c r="BP109" s="31">
        <v>0.81686746987951808</v>
      </c>
      <c r="BQ109" s="31">
        <v>0.79720279720279719</v>
      </c>
      <c r="BR109" s="31">
        <v>0.75808779455838271</v>
      </c>
      <c r="BS109" s="31">
        <v>0.73764705882352943</v>
      </c>
      <c r="BT109" s="31">
        <v>0.7635294117647059</v>
      </c>
      <c r="BU109" s="31">
        <v>0.75882352941176467</v>
      </c>
      <c r="BV109" s="31">
        <v>0.75529411764705878</v>
      </c>
      <c r="BW109" s="31">
        <v>0.79647058823529415</v>
      </c>
      <c r="BX109" s="31">
        <v>0.79058823529411759</v>
      </c>
      <c r="BY109" s="31">
        <v>0.81294117647058828</v>
      </c>
      <c r="BZ109" s="31">
        <v>0.77361344537815135</v>
      </c>
      <c r="CA109" s="31">
        <v>0.80751708428246016</v>
      </c>
      <c r="CB109" s="31">
        <v>0.78117647058823525</v>
      </c>
      <c r="CC109" s="31">
        <v>0.78587699316628701</v>
      </c>
      <c r="CD109" s="31">
        <v>0.78246013667425973</v>
      </c>
      <c r="CE109" s="31">
        <v>0.78563283922462945</v>
      </c>
      <c r="CF109" s="31">
        <v>0.81058823529411761</v>
      </c>
      <c r="CG109" s="31">
        <v>0.82470588235294118</v>
      </c>
      <c r="CH109" s="31">
        <v>0.79685109165470436</v>
      </c>
      <c r="CI109" s="31">
        <v>0.7857142857142857</v>
      </c>
      <c r="CJ109" s="31">
        <v>0.78701594533029617</v>
      </c>
      <c r="CK109" s="31">
        <v>0.76829268292682928</v>
      </c>
      <c r="CL109" s="31">
        <v>0.77090909090909088</v>
      </c>
      <c r="CM109" s="31">
        <v>0.7857142857142857</v>
      </c>
      <c r="CN109" s="31">
        <v>0.77790432801822329</v>
      </c>
      <c r="CO109" s="31">
        <v>0.80266343825665865</v>
      </c>
      <c r="CP109" s="31">
        <v>0.78260200812423852</v>
      </c>
      <c r="CQ109" s="31">
        <v>0.76895306859205781</v>
      </c>
      <c r="CR109" s="31">
        <v>0.76606060606060611</v>
      </c>
      <c r="CS109" s="31">
        <v>0.79783393501805056</v>
      </c>
      <c r="CT109" s="31">
        <v>0.81347773766546327</v>
      </c>
      <c r="CU109" s="31">
        <v>0.75210589651022863</v>
      </c>
      <c r="CV109" s="31">
        <v>0.76293622141997597</v>
      </c>
      <c r="CW109" s="31">
        <v>0.75932611311672682</v>
      </c>
      <c r="CX109" s="31">
        <v>0.77438479691187279</v>
      </c>
      <c r="CY109" s="31">
        <v>0.79468599033816423</v>
      </c>
      <c r="CZ109" s="31">
        <v>0.80746089049338143</v>
      </c>
      <c r="DA109" s="31">
        <v>0.78502415458937203</v>
      </c>
      <c r="DB109" s="31">
        <v>0.75483091787439616</v>
      </c>
      <c r="DC109" s="31">
        <v>0.77777777777777779</v>
      </c>
      <c r="DD109" s="31">
        <v>0.79347826086956519</v>
      </c>
      <c r="DE109" s="31">
        <v>0.78985507246376807</v>
      </c>
      <c r="DF109" s="31">
        <v>0.78615900920091797</v>
      </c>
      <c r="DG109" s="31">
        <v>0.734375</v>
      </c>
      <c r="DH109" s="31">
        <v>0.76932367149758452</v>
      </c>
      <c r="DI109" s="31">
        <v>0.71875</v>
      </c>
      <c r="DJ109" s="31">
        <v>0.69831730769230771</v>
      </c>
      <c r="DK109" s="31">
        <v>0.75120192307692313</v>
      </c>
      <c r="DL109" s="31">
        <v>0.78245192307692313</v>
      </c>
      <c r="DM109" s="31">
        <v>0.765625</v>
      </c>
      <c r="DN109" s="31">
        <v>0.74572068933481983</v>
      </c>
      <c r="DO109" s="31">
        <v>0.69975490196078427</v>
      </c>
      <c r="DP109" s="31">
        <v>0.70552884615384615</v>
      </c>
      <c r="DQ109" s="31">
        <v>0.68232385661310258</v>
      </c>
      <c r="DR109" s="31">
        <v>0.68974042027194071</v>
      </c>
      <c r="DS109" s="31">
        <v>0.71200980392156865</v>
      </c>
      <c r="DT109" s="31">
        <v>0.72671568627450978</v>
      </c>
      <c r="DU109" s="31">
        <v>0.72549019607843135</v>
      </c>
      <c r="DV109" s="31">
        <v>0.70593767303916899</v>
      </c>
      <c r="DW109" s="31">
        <v>0.75634517766497467</v>
      </c>
      <c r="DX109" s="31">
        <v>0.71250000000000002</v>
      </c>
      <c r="DY109" s="31">
        <v>0.75252525252525249</v>
      </c>
      <c r="DZ109" s="31">
        <v>0.73489519112207147</v>
      </c>
      <c r="EA109" s="31">
        <v>0.74811083123425692</v>
      </c>
      <c r="EB109" s="31">
        <v>0.74875000000000003</v>
      </c>
      <c r="EC109" s="31">
        <v>0.76584734799482534</v>
      </c>
      <c r="ED109" s="31">
        <v>0.74556768579162591</v>
      </c>
      <c r="EE109" s="31">
        <v>0.75064599483204131</v>
      </c>
      <c r="EF109" s="31">
        <v>0.73383084577114432</v>
      </c>
      <c r="EG109" s="31">
        <v>0.74289405684754517</v>
      </c>
      <c r="EH109" s="31">
        <v>0.73514211886304914</v>
      </c>
      <c r="EI109" s="31">
        <v>0.74783683559950553</v>
      </c>
      <c r="EJ109" s="31">
        <v>0.74042027194066751</v>
      </c>
      <c r="EK109" s="31">
        <v>0.7119901112484549</v>
      </c>
      <c r="EL109" s="31">
        <v>0.73753717644320116</v>
      </c>
    </row>
    <row r="110" spans="38:142" x14ac:dyDescent="0.35">
      <c r="AL110" s="19" t="s">
        <v>154</v>
      </c>
      <c r="AM110" s="31">
        <v>0.83976261127596441</v>
      </c>
      <c r="AN110" s="31">
        <v>0.84272997032640951</v>
      </c>
      <c r="AO110" s="31">
        <v>0.83382789317507422</v>
      </c>
      <c r="AP110" s="31">
        <v>0.8486646884272997</v>
      </c>
      <c r="AQ110" s="31">
        <v>0.78931750741839768</v>
      </c>
      <c r="AR110" s="31">
        <v>0.86053412462908008</v>
      </c>
      <c r="AS110" s="31">
        <v>0.83679525222551931</v>
      </c>
      <c r="AT110" s="31">
        <v>0.83594743535396354</v>
      </c>
      <c r="AU110" s="31">
        <v>0.83086053412462912</v>
      </c>
      <c r="AV110" s="31">
        <v>0.8928571428571429</v>
      </c>
      <c r="AW110" s="31">
        <v>0.87537091988130566</v>
      </c>
      <c r="AX110" s="31">
        <v>0.82789317507418403</v>
      </c>
      <c r="AY110" s="31">
        <v>0.90207715133531152</v>
      </c>
      <c r="AZ110" s="31">
        <v>0.90504451038575673</v>
      </c>
      <c r="BA110" s="31">
        <v>0.89614243323442133</v>
      </c>
      <c r="BB110" s="31">
        <v>0.87574940955610736</v>
      </c>
      <c r="BC110" s="31">
        <v>0.86322188449848025</v>
      </c>
      <c r="BD110" s="31">
        <v>0.86943620178041547</v>
      </c>
      <c r="BE110" s="31">
        <v>0.84709480122324154</v>
      </c>
      <c r="BF110" s="31">
        <v>0.8404907975460123</v>
      </c>
      <c r="BG110" s="31">
        <v>0.89425981873111782</v>
      </c>
      <c r="BH110" s="31">
        <v>0.89910979228486643</v>
      </c>
      <c r="BI110" s="31">
        <v>0.86943620178041547</v>
      </c>
      <c r="BJ110" s="31">
        <v>0.8690070711206499</v>
      </c>
      <c r="BK110" s="31">
        <v>0.6142433234421365</v>
      </c>
      <c r="BL110" s="31">
        <v>0.89230769230769236</v>
      </c>
      <c r="BM110" s="31">
        <v>0.64391691394658757</v>
      </c>
      <c r="BN110" s="31">
        <v>0.72106824925816027</v>
      </c>
      <c r="BO110" s="31">
        <v>0.77448071216617209</v>
      </c>
      <c r="BP110" s="31">
        <v>0.89846153846153842</v>
      </c>
      <c r="BQ110" s="31">
        <v>0.87187499999999996</v>
      </c>
      <c r="BR110" s="31">
        <v>0.77376477565461244</v>
      </c>
      <c r="BS110" s="31">
        <v>0.77910447761194035</v>
      </c>
      <c r="BT110" s="31">
        <v>0.77744807121661719</v>
      </c>
      <c r="BU110" s="31">
        <v>0.77941176470588236</v>
      </c>
      <c r="BV110" s="31">
        <v>0.83136094674556216</v>
      </c>
      <c r="BW110" s="31">
        <v>0.8303571428571429</v>
      </c>
      <c r="BX110" s="31">
        <v>0.79821958456973297</v>
      </c>
      <c r="BY110" s="31">
        <v>0.8214285714285714</v>
      </c>
      <c r="BZ110" s="31">
        <v>0.80247579416220716</v>
      </c>
      <c r="CA110" s="31">
        <v>0.89411764705882357</v>
      </c>
      <c r="CB110" s="31">
        <v>0.87020648967551617</v>
      </c>
      <c r="CC110" s="31">
        <v>0.89675516224188789</v>
      </c>
      <c r="CD110" s="31">
        <v>0.90801186943620182</v>
      </c>
      <c r="CE110" s="31">
        <v>0.90434782608695652</v>
      </c>
      <c r="CF110" s="31">
        <v>0.89053254437869822</v>
      </c>
      <c r="CG110" s="31">
        <v>0.89910979228486643</v>
      </c>
      <c r="CH110" s="31">
        <v>0.89472590445185018</v>
      </c>
      <c r="CI110" s="31">
        <v>0.90090090090090091</v>
      </c>
      <c r="CJ110" s="31">
        <v>0.91124260355029585</v>
      </c>
      <c r="CK110" s="31">
        <v>0.80409356725146197</v>
      </c>
      <c r="CL110" s="31">
        <v>0.82544378698224852</v>
      </c>
      <c r="CM110" s="31">
        <v>0.8990825688073395</v>
      </c>
      <c r="CN110" s="31">
        <v>0.92238805970149251</v>
      </c>
      <c r="CO110" s="31">
        <v>0.9526627218934911</v>
      </c>
      <c r="CP110" s="31">
        <v>0.88797345844103293</v>
      </c>
      <c r="CQ110" s="31">
        <v>0.90312499999999996</v>
      </c>
      <c r="CR110" s="31">
        <v>0.87573964497041423</v>
      </c>
      <c r="CS110" s="31">
        <v>0.88379204892966357</v>
      </c>
      <c r="CT110" s="31">
        <v>0.87572254335260113</v>
      </c>
      <c r="CU110" s="31">
        <v>0.90123456790123457</v>
      </c>
      <c r="CV110" s="31">
        <v>0.89696969696969697</v>
      </c>
      <c r="CW110" s="31">
        <v>0.94545454545454544</v>
      </c>
      <c r="CX110" s="31">
        <v>0.89743400679687935</v>
      </c>
      <c r="CY110" s="31">
        <v>0.88473520249221183</v>
      </c>
      <c r="CZ110" s="31">
        <v>0.9337349397590361</v>
      </c>
      <c r="DA110" s="31">
        <v>0.90764331210191085</v>
      </c>
      <c r="DB110" s="31">
        <v>0.91639871382636651</v>
      </c>
      <c r="DC110" s="31">
        <v>0.88073394495412849</v>
      </c>
      <c r="DD110" s="31">
        <v>0.92625368731563418</v>
      </c>
      <c r="DE110" s="31">
        <v>0.9429429429429429</v>
      </c>
      <c r="DF110" s="31">
        <v>0.91320610619889009</v>
      </c>
      <c r="DG110" s="31">
        <v>0.91117478510028649</v>
      </c>
      <c r="DH110" s="31">
        <v>0.8821752265861027</v>
      </c>
      <c r="DI110" s="31">
        <v>0.89971346704871058</v>
      </c>
      <c r="DJ110" s="31">
        <v>0.90257879656160456</v>
      </c>
      <c r="DK110" s="31">
        <v>0.86743515850144093</v>
      </c>
      <c r="DL110" s="31">
        <v>0.86890243902439024</v>
      </c>
      <c r="DM110" s="31">
        <v>0.83806818181818177</v>
      </c>
      <c r="DN110" s="31">
        <v>0.88143543637724542</v>
      </c>
      <c r="DO110" s="31">
        <v>0.91666666666666663</v>
      </c>
      <c r="DP110" s="31">
        <v>0.91977077363896853</v>
      </c>
      <c r="DQ110" s="31">
        <v>0.89085545722713866</v>
      </c>
      <c r="DR110" s="31">
        <v>0.86686390532544377</v>
      </c>
      <c r="DS110" s="31">
        <v>0.91594202898550725</v>
      </c>
      <c r="DT110" s="31">
        <v>0.93484419263456087</v>
      </c>
      <c r="DU110" s="31">
        <v>0.91142857142857148</v>
      </c>
      <c r="DV110" s="31">
        <v>0.90805308512955107</v>
      </c>
      <c r="DW110" s="31">
        <v>0.89939024390243905</v>
      </c>
      <c r="DX110" s="31">
        <v>0.86144578313253017</v>
      </c>
      <c r="DY110" s="31">
        <v>0.87020648967551617</v>
      </c>
      <c r="DZ110" s="31">
        <v>0.87009063444108758</v>
      </c>
      <c r="EA110" s="31">
        <v>0.91185410334346506</v>
      </c>
      <c r="EB110" s="31">
        <v>0.8936170212765957</v>
      </c>
      <c r="EC110" s="31">
        <v>0.90825688073394495</v>
      </c>
      <c r="ED110" s="31">
        <v>0.88783730807222561</v>
      </c>
      <c r="EE110" s="31">
        <v>0.87048192771084343</v>
      </c>
      <c r="EF110" s="31">
        <v>0.85545722713864303</v>
      </c>
      <c r="EG110" s="31">
        <v>0.87951807228915657</v>
      </c>
      <c r="EH110" s="31">
        <v>0.9</v>
      </c>
      <c r="EI110" s="31">
        <v>0.87869822485207105</v>
      </c>
      <c r="EJ110" s="31">
        <v>0.92354740061162077</v>
      </c>
      <c r="EK110" s="31">
        <v>0.87278106508875741</v>
      </c>
      <c r="EL110" s="31">
        <v>0.88292627395587042</v>
      </c>
    </row>
    <row r="111" spans="38:142" x14ac:dyDescent="0.35">
      <c r="AL111" s="19" t="s">
        <v>155</v>
      </c>
      <c r="AM111" s="31">
        <v>0.81858902575587911</v>
      </c>
      <c r="AN111" s="31">
        <v>0.90841584158415845</v>
      </c>
      <c r="AO111" s="31">
        <v>0.86261261261261257</v>
      </c>
      <c r="AP111" s="31">
        <v>0.76525336091003104</v>
      </c>
      <c r="AQ111" s="31">
        <v>0.89302884615384615</v>
      </c>
      <c r="AR111" s="31">
        <v>0.92189349112426033</v>
      </c>
      <c r="AS111" s="31">
        <v>0.86263096623981372</v>
      </c>
      <c r="AT111" s="31">
        <v>0.86177487776865735</v>
      </c>
      <c r="AU111" s="31">
        <v>0.85588558855885588</v>
      </c>
      <c r="AV111" s="31">
        <v>0.83968609865470856</v>
      </c>
      <c r="AW111" s="31">
        <v>0.86225596529284165</v>
      </c>
      <c r="AX111" s="31">
        <v>0.89</v>
      </c>
      <c r="AY111" s="31">
        <v>0.85982339955849885</v>
      </c>
      <c r="AZ111" s="31">
        <v>0.81777277840269968</v>
      </c>
      <c r="BA111" s="31">
        <v>0.84309392265193372</v>
      </c>
      <c r="BB111" s="31">
        <v>0.8526453933027911</v>
      </c>
      <c r="BC111" s="31">
        <v>0.88118811881188119</v>
      </c>
      <c r="BD111" s="31">
        <v>0.88913282107574099</v>
      </c>
      <c r="BE111" s="31">
        <v>0.83240223463687146</v>
      </c>
      <c r="BF111" s="31">
        <v>0.82530795072788354</v>
      </c>
      <c r="BG111" s="31">
        <v>0.81330472103004292</v>
      </c>
      <c r="BH111" s="31">
        <v>0.87705817782656426</v>
      </c>
      <c r="BI111" s="31">
        <v>0.87303370786516854</v>
      </c>
      <c r="BJ111" s="31">
        <v>0.85591824742487899</v>
      </c>
      <c r="BK111" s="31">
        <v>0.73891001267427125</v>
      </c>
      <c r="BL111" s="31">
        <v>0.81797497155858934</v>
      </c>
      <c r="BM111" s="31">
        <v>0.79722921914357681</v>
      </c>
      <c r="BN111" s="31">
        <v>0.810126582278481</v>
      </c>
      <c r="BO111" s="31">
        <v>0.84385763490241106</v>
      </c>
      <c r="BP111" s="31">
        <v>0.82913472070098582</v>
      </c>
      <c r="BQ111" s="31">
        <v>0.86085972850678738</v>
      </c>
      <c r="BR111" s="31">
        <v>0.81401326710930033</v>
      </c>
      <c r="BS111" s="31">
        <v>0.80186480186480191</v>
      </c>
      <c r="BT111" s="31">
        <v>0.81658291457286436</v>
      </c>
      <c r="BU111" s="31">
        <v>0.84633569739952719</v>
      </c>
      <c r="BV111" s="31">
        <v>0.87664670658682631</v>
      </c>
      <c r="BW111" s="31">
        <v>0.8571428571428571</v>
      </c>
      <c r="BX111" s="31">
        <v>0.87453416149068319</v>
      </c>
      <c r="BY111" s="31">
        <v>0.85747126436781607</v>
      </c>
      <c r="BZ111" s="31">
        <v>0.84722548620362514</v>
      </c>
      <c r="CA111" s="31">
        <v>0.86851211072664358</v>
      </c>
      <c r="CB111" s="31">
        <v>0.88249400479616302</v>
      </c>
      <c r="CC111" s="31">
        <v>0.84234234234234229</v>
      </c>
      <c r="CD111" s="31">
        <v>0.84139482564679413</v>
      </c>
      <c r="CE111" s="31">
        <v>0.8608893956670467</v>
      </c>
      <c r="CF111" s="31">
        <v>0.89964580873671784</v>
      </c>
      <c r="CG111" s="31">
        <v>0.8666666666666667</v>
      </c>
      <c r="CH111" s="31">
        <v>0.86599216494033915</v>
      </c>
      <c r="CI111" s="31">
        <v>0.85027932960893859</v>
      </c>
      <c r="CJ111" s="31">
        <v>0.86419753086419748</v>
      </c>
      <c r="CK111" s="31">
        <v>0.79349046015712688</v>
      </c>
      <c r="CL111" s="31">
        <v>0.81485849056603776</v>
      </c>
      <c r="CM111" s="31">
        <v>0.87307236061684457</v>
      </c>
      <c r="CN111" s="31">
        <v>0.89930555555555558</v>
      </c>
      <c r="CO111" s="31">
        <v>0.8839285714285714</v>
      </c>
      <c r="CP111" s="31">
        <v>0.85416175697103891</v>
      </c>
      <c r="CQ111" s="31">
        <v>0.83502824858757063</v>
      </c>
      <c r="CR111" s="31">
        <v>0.84587813620071683</v>
      </c>
      <c r="CS111" s="31">
        <v>0.82229580573951433</v>
      </c>
      <c r="CT111" s="31">
        <v>0.83699421965317922</v>
      </c>
      <c r="CU111" s="31">
        <v>0.86519337016574582</v>
      </c>
      <c r="CV111" s="31">
        <v>0.82359952324195473</v>
      </c>
      <c r="CW111" s="31">
        <v>0.80811403508771928</v>
      </c>
      <c r="CX111" s="31">
        <v>0.83387190552520007</v>
      </c>
      <c r="CY111" s="31">
        <v>0.85147392290249435</v>
      </c>
      <c r="CZ111" s="31">
        <v>0.85817307692307687</v>
      </c>
      <c r="DA111" s="31">
        <v>0.83878504672897192</v>
      </c>
      <c r="DB111" s="31">
        <v>0.85521885521885521</v>
      </c>
      <c r="DC111" s="31">
        <v>0.86605080831408776</v>
      </c>
      <c r="DD111" s="31">
        <v>0.86986301369863017</v>
      </c>
      <c r="DE111" s="31">
        <v>0.84624413145539901</v>
      </c>
      <c r="DF111" s="31">
        <v>0.85511555074878787</v>
      </c>
      <c r="DG111" s="31">
        <v>0.87333333333333329</v>
      </c>
      <c r="DH111" s="31">
        <v>0.85632183908045978</v>
      </c>
      <c r="DI111" s="31">
        <v>0.87041284403669728</v>
      </c>
      <c r="DJ111" s="31">
        <v>0.88045977011494247</v>
      </c>
      <c r="DK111" s="31">
        <v>0.85033259423503327</v>
      </c>
      <c r="DL111" s="31">
        <v>0.86769570011025354</v>
      </c>
      <c r="DM111" s="31">
        <v>0.85434782608695647</v>
      </c>
      <c r="DN111" s="31">
        <v>0.86470055814252511</v>
      </c>
      <c r="DO111" s="31">
        <v>0.86568848758465011</v>
      </c>
      <c r="DP111" s="31">
        <v>0.88838782412626827</v>
      </c>
      <c r="DQ111" s="31">
        <v>0.82782212086659068</v>
      </c>
      <c r="DR111" s="31">
        <v>0.81187010078387456</v>
      </c>
      <c r="DS111" s="31">
        <v>0.88241881298992164</v>
      </c>
      <c r="DT111" s="31">
        <v>0.8783783783783784</v>
      </c>
      <c r="DU111" s="31">
        <v>0.89337822671156009</v>
      </c>
      <c r="DV111" s="31">
        <v>0.86399199306303487</v>
      </c>
      <c r="DW111" s="31">
        <v>0.87333333333333329</v>
      </c>
      <c r="DX111" s="31">
        <v>0.87049549549549554</v>
      </c>
      <c r="DY111" s="31">
        <v>0.85131894484412474</v>
      </c>
      <c r="DZ111" s="31">
        <v>0.828125</v>
      </c>
      <c r="EA111" s="31">
        <v>0.86956521739130432</v>
      </c>
      <c r="EB111" s="31">
        <v>0.86946651532349606</v>
      </c>
      <c r="EC111" s="31">
        <v>0.86049237983587334</v>
      </c>
      <c r="ED111" s="31">
        <v>0.86039955517480393</v>
      </c>
      <c r="EE111" s="31">
        <v>0.90196078431372551</v>
      </c>
      <c r="EF111" s="31">
        <v>0.882943143812709</v>
      </c>
      <c r="EG111" s="31">
        <v>0.81048867699642435</v>
      </c>
      <c r="EH111" s="31">
        <v>0.81503579952267302</v>
      </c>
      <c r="EI111" s="31">
        <v>0.89634146341463417</v>
      </c>
      <c r="EJ111" s="31">
        <v>0.90476190476190477</v>
      </c>
      <c r="EK111" s="31">
        <v>0.8914354644149578</v>
      </c>
      <c r="EL111" s="31">
        <v>0.87185246246243264</v>
      </c>
    </row>
    <row r="112" spans="38:142" x14ac:dyDescent="0.35">
      <c r="AL112" s="19" t="s">
        <v>156</v>
      </c>
      <c r="AM112" s="31">
        <v>0.95885509838998206</v>
      </c>
      <c r="AN112" s="31">
        <v>0.92817679558011046</v>
      </c>
      <c r="AO112" s="31">
        <v>0.92224231464737794</v>
      </c>
      <c r="AP112" s="31">
        <v>0.92149532710280369</v>
      </c>
      <c r="AQ112" s="31">
        <v>0.93262411347517726</v>
      </c>
      <c r="AR112" s="31">
        <v>0.95652173913043481</v>
      </c>
      <c r="AS112" s="31">
        <v>0.9398230088495575</v>
      </c>
      <c r="AT112" s="31">
        <v>0.93710548531077775</v>
      </c>
      <c r="AU112" s="31">
        <v>0.93379790940766549</v>
      </c>
      <c r="AV112" s="31">
        <v>0.9372693726937269</v>
      </c>
      <c r="AW112" s="31">
        <v>0.92224231464737794</v>
      </c>
      <c r="AX112" s="31">
        <v>0.92391304347826086</v>
      </c>
      <c r="AY112" s="31">
        <v>0.96322241681260945</v>
      </c>
      <c r="AZ112" s="31">
        <v>0.96383363471971062</v>
      </c>
      <c r="BA112" s="31">
        <v>0.968476357267951</v>
      </c>
      <c r="BB112" s="31">
        <v>0.94467929271818607</v>
      </c>
      <c r="BC112" s="31">
        <v>0.96422182468694095</v>
      </c>
      <c r="BD112" s="31">
        <v>0.93827160493827155</v>
      </c>
      <c r="BE112" s="31">
        <v>0.92435424354243545</v>
      </c>
      <c r="BF112" s="31">
        <v>0.95856873822975519</v>
      </c>
      <c r="BG112" s="31">
        <v>0.95462478184991273</v>
      </c>
      <c r="BH112" s="31">
        <v>0.95155709342560557</v>
      </c>
      <c r="BI112" s="31">
        <v>0.96347826086956523</v>
      </c>
      <c r="BJ112" s="31">
        <v>0.95072522107749802</v>
      </c>
      <c r="BK112" s="31">
        <v>0.88601036269430056</v>
      </c>
      <c r="BL112" s="31">
        <v>0.89114391143911442</v>
      </c>
      <c r="BM112" s="31">
        <v>0.86010362694300513</v>
      </c>
      <c r="BN112" s="31">
        <v>0.86861313868613144</v>
      </c>
      <c r="BO112" s="31">
        <v>0.92009132420091322</v>
      </c>
      <c r="BP112" s="31">
        <v>0.92460317460317465</v>
      </c>
      <c r="BQ112" s="31">
        <v>0.92468619246861927</v>
      </c>
      <c r="BR112" s="31">
        <v>0.89646453300503703</v>
      </c>
      <c r="BS112" s="31">
        <v>0.94457274826789839</v>
      </c>
      <c r="BT112" s="31">
        <v>0.90762124711316394</v>
      </c>
      <c r="BU112" s="31">
        <v>0.93396226415094341</v>
      </c>
      <c r="BV112" s="31">
        <v>0.93503480278422269</v>
      </c>
      <c r="BW112" s="31">
        <v>0.94144144144144148</v>
      </c>
      <c r="BX112" s="31">
        <v>0.91954022988505746</v>
      </c>
      <c r="BY112" s="31">
        <v>0.92139737991266379</v>
      </c>
      <c r="BZ112" s="31">
        <v>0.9290814447936272</v>
      </c>
      <c r="CA112" s="31">
        <v>0.92445328031809149</v>
      </c>
      <c r="CB112" s="31">
        <v>0.92710706150341682</v>
      </c>
      <c r="CC112" s="31">
        <v>0.92673267326732678</v>
      </c>
      <c r="CD112" s="31">
        <v>0.93083003952569165</v>
      </c>
      <c r="CE112" s="31">
        <v>0.93788819875776397</v>
      </c>
      <c r="CF112" s="31">
        <v>0.91958762886597933</v>
      </c>
      <c r="CG112" s="31">
        <v>0.92291666666666672</v>
      </c>
      <c r="CH112" s="31">
        <v>0.92707364984356233</v>
      </c>
      <c r="CI112" s="31">
        <v>0.96296296296296291</v>
      </c>
      <c r="CJ112" s="31">
        <v>0.92292490118577075</v>
      </c>
      <c r="CK112" s="31">
        <v>0.96007984031936133</v>
      </c>
      <c r="CL112" s="31">
        <v>0.94939271255060731</v>
      </c>
      <c r="CM112" s="31">
        <v>0.93775100401606426</v>
      </c>
      <c r="CN112" s="31">
        <v>0.92322834645669294</v>
      </c>
      <c r="CO112" s="31">
        <v>0.92842942345924451</v>
      </c>
      <c r="CP112" s="31">
        <v>0.94068131299295765</v>
      </c>
      <c r="CQ112" s="31">
        <v>0.95151515151515154</v>
      </c>
      <c r="CR112" s="31">
        <v>0.92712550607287447</v>
      </c>
      <c r="CS112" s="31">
        <v>0.94</v>
      </c>
      <c r="CT112" s="31">
        <v>0.92479674796747968</v>
      </c>
      <c r="CU112" s="31">
        <v>0.95372233400402417</v>
      </c>
      <c r="CV112" s="31">
        <v>0.93110236220472442</v>
      </c>
      <c r="CW112" s="31">
        <v>0.93069306930693074</v>
      </c>
      <c r="CX112" s="31">
        <v>0.93699359586731201</v>
      </c>
      <c r="CY112" s="31">
        <v>0.94626168224299068</v>
      </c>
      <c r="CZ112" s="31">
        <v>0.94398340248962653</v>
      </c>
      <c r="DA112" s="31">
        <v>0.92105263157894735</v>
      </c>
      <c r="DB112" s="31">
        <v>0.92803970223325061</v>
      </c>
      <c r="DC112" s="31">
        <v>0.94782608695652171</v>
      </c>
      <c r="DD112" s="31">
        <v>0.92668024439918528</v>
      </c>
      <c r="DE112" s="31">
        <v>0.96868008948545858</v>
      </c>
      <c r="DF112" s="31">
        <v>0.94036054848371153</v>
      </c>
      <c r="DG112" s="31">
        <v>0.96739130434782605</v>
      </c>
      <c r="DH112" s="31">
        <v>0.94660194174757284</v>
      </c>
      <c r="DI112" s="31">
        <v>0.94243070362473347</v>
      </c>
      <c r="DJ112" s="31">
        <v>0.93049327354260092</v>
      </c>
      <c r="DK112" s="31">
        <v>0.95652173913043481</v>
      </c>
      <c r="DL112" s="31">
        <v>0.96544276457883371</v>
      </c>
      <c r="DM112" s="31">
        <v>0.96674057649667411</v>
      </c>
      <c r="DN112" s="31">
        <v>0.95366032906695375</v>
      </c>
      <c r="DO112" s="31">
        <v>0.96103896103896103</v>
      </c>
      <c r="DP112" s="31">
        <v>0.9464285714285714</v>
      </c>
      <c r="DQ112" s="31">
        <v>0.95814977973568283</v>
      </c>
      <c r="DR112" s="31">
        <v>0.9635974304068522</v>
      </c>
      <c r="DS112" s="31">
        <v>0.95302013422818788</v>
      </c>
      <c r="DT112" s="31">
        <v>0.94243070362473347</v>
      </c>
      <c r="DU112" s="31">
        <v>0.92811839323467227</v>
      </c>
      <c r="DV112" s="31">
        <v>0.95039771052823718</v>
      </c>
      <c r="DW112" s="31">
        <v>0.95652173913043481</v>
      </c>
      <c r="DX112" s="31">
        <v>0.96046511627906972</v>
      </c>
      <c r="DY112" s="31">
        <v>0.94130434782608696</v>
      </c>
      <c r="DZ112" s="31">
        <v>0.96659707724425892</v>
      </c>
      <c r="EA112" s="31">
        <v>0.96494845360824744</v>
      </c>
      <c r="EB112" s="31">
        <v>0.9732142857142857</v>
      </c>
      <c r="EC112" s="31">
        <v>0.96444444444444444</v>
      </c>
      <c r="ED112" s="31">
        <v>0.96107078060668971</v>
      </c>
      <c r="EE112" s="31">
        <v>0.95190380761523041</v>
      </c>
      <c r="EF112" s="31">
        <v>0.97772828507795095</v>
      </c>
      <c r="EG112" s="31">
        <v>0.9570815450643777</v>
      </c>
      <c r="EH112" s="31">
        <v>0.9324894514767933</v>
      </c>
      <c r="EI112" s="31">
        <v>0.96421471172962225</v>
      </c>
      <c r="EJ112" s="31">
        <v>0.97463002114164909</v>
      </c>
      <c r="EK112" s="31">
        <v>0.98151950718685832</v>
      </c>
      <c r="EL112" s="31">
        <v>0.96279533275606877</v>
      </c>
    </row>
    <row r="113" spans="38:142" x14ac:dyDescent="0.35">
      <c r="AL113" s="19" t="s">
        <v>157</v>
      </c>
      <c r="AM113" s="31">
        <v>0.81348107109879964</v>
      </c>
      <c r="AN113" s="31">
        <v>0.83041474654377878</v>
      </c>
      <c r="AO113" s="31">
        <v>0.78075855689176688</v>
      </c>
      <c r="AP113" s="31">
        <v>0.75553505535055354</v>
      </c>
      <c r="AQ113" s="31">
        <v>0.81036077705827936</v>
      </c>
      <c r="AR113" s="31">
        <v>0.84239631336405529</v>
      </c>
      <c r="AS113" s="31">
        <v>0.82070240295748609</v>
      </c>
      <c r="AT113" s="31">
        <v>0.80766413189495989</v>
      </c>
      <c r="AU113" s="31">
        <v>0.87579329102447867</v>
      </c>
      <c r="AV113" s="31">
        <v>0.73395348837209307</v>
      </c>
      <c r="AW113" s="31">
        <v>0.84803921568627449</v>
      </c>
      <c r="AX113" s="31">
        <v>0.83118081180811809</v>
      </c>
      <c r="AY113" s="31">
        <v>0.86972477064220188</v>
      </c>
      <c r="AZ113" s="31">
        <v>0.86478873239436616</v>
      </c>
      <c r="BA113" s="31">
        <v>0.8658088235294118</v>
      </c>
      <c r="BB113" s="31">
        <v>0.84132701906527785</v>
      </c>
      <c r="BC113" s="31">
        <v>0.87430167597765363</v>
      </c>
      <c r="BD113" s="31">
        <v>0.8465703971119134</v>
      </c>
      <c r="BE113" s="31">
        <v>0.80483437779767231</v>
      </c>
      <c r="BF113" s="31">
        <v>0.83147113594040967</v>
      </c>
      <c r="BG113" s="31">
        <v>0.86293958521190262</v>
      </c>
      <c r="BH113" s="31">
        <v>0.88728584310189362</v>
      </c>
      <c r="BI113" s="31">
        <v>0.86830154405086291</v>
      </c>
      <c r="BJ113" s="31">
        <v>0.85367207988461558</v>
      </c>
      <c r="BK113" s="31">
        <v>0.69507575757575757</v>
      </c>
      <c r="BL113" s="31">
        <v>0.8568755846585594</v>
      </c>
      <c r="BM113" s="31">
        <v>0.76670201484623546</v>
      </c>
      <c r="BN113" s="31">
        <v>0.77492291880781095</v>
      </c>
      <c r="BO113" s="31">
        <v>0.78923357664233573</v>
      </c>
      <c r="BP113" s="31">
        <v>0.84414414414414418</v>
      </c>
      <c r="BQ113" s="31">
        <v>0.80728241563055059</v>
      </c>
      <c r="BR113" s="31">
        <v>0.7906052017579136</v>
      </c>
      <c r="BS113" s="31">
        <v>0.80720545277507305</v>
      </c>
      <c r="BT113" s="31">
        <v>0.75733063700707781</v>
      </c>
      <c r="BU113" s="31">
        <v>0.79342723004694837</v>
      </c>
      <c r="BV113" s="31">
        <v>0.8432122370936902</v>
      </c>
      <c r="BW113" s="31">
        <v>0.76449598572702948</v>
      </c>
      <c r="BX113" s="31">
        <v>0.7951582867783985</v>
      </c>
      <c r="BY113" s="31">
        <v>0.79889807162534432</v>
      </c>
      <c r="BZ113" s="31">
        <v>0.79424684300765158</v>
      </c>
      <c r="CA113" s="31">
        <v>0.8810408921933085</v>
      </c>
      <c r="CB113" s="31">
        <v>0.84536082474226804</v>
      </c>
      <c r="CC113" s="31">
        <v>0.7613019891500904</v>
      </c>
      <c r="CD113" s="31">
        <v>0.90373280943025536</v>
      </c>
      <c r="CE113" s="31">
        <v>0.86417502278942571</v>
      </c>
      <c r="CF113" s="31">
        <v>0.86149584487534625</v>
      </c>
      <c r="CG113" s="31">
        <v>0.8574074074074074</v>
      </c>
      <c r="CH113" s="31">
        <v>0.8535021129411573</v>
      </c>
      <c r="CI113" s="31">
        <v>0.76216712580348944</v>
      </c>
      <c r="CJ113" s="31">
        <v>0.85956175298804782</v>
      </c>
      <c r="CK113" s="31">
        <v>0.79022988505747127</v>
      </c>
      <c r="CL113" s="31">
        <v>0.73770491803278693</v>
      </c>
      <c r="CM113" s="31">
        <v>0.83397312859884842</v>
      </c>
      <c r="CN113" s="31">
        <v>0.86902485659655837</v>
      </c>
      <c r="CO113" s="31">
        <v>0.86246418338108888</v>
      </c>
      <c r="CP113" s="31">
        <v>0.81644655006547018</v>
      </c>
      <c r="CQ113" s="31">
        <v>0.78840579710144931</v>
      </c>
      <c r="CR113" s="31">
        <v>0.78113207547169816</v>
      </c>
      <c r="CS113" s="31">
        <v>0.78537054860442734</v>
      </c>
      <c r="CT113" s="31">
        <v>0.80039138943248533</v>
      </c>
      <c r="CU113" s="31">
        <v>0.81189083820662766</v>
      </c>
      <c r="CV113" s="31">
        <v>0.8023143683702989</v>
      </c>
      <c r="CW113" s="31">
        <v>0.8128654970760234</v>
      </c>
      <c r="CX113" s="31">
        <v>0.79748150203757295</v>
      </c>
      <c r="CY113" s="31">
        <v>0.82211055276381906</v>
      </c>
      <c r="CZ113" s="31">
        <v>0.86175580221997983</v>
      </c>
      <c r="DA113" s="31">
        <v>0.7765531062124249</v>
      </c>
      <c r="DB113" s="31">
        <v>0.78905472636815921</v>
      </c>
      <c r="DC113" s="31">
        <v>0.83215369059656219</v>
      </c>
      <c r="DD113" s="31">
        <v>0.88989898989898986</v>
      </c>
      <c r="DE113" s="31">
        <v>0.83116883116883122</v>
      </c>
      <c r="DF113" s="31">
        <v>0.82895652846125234</v>
      </c>
      <c r="DG113" s="31">
        <v>0.79981203007518797</v>
      </c>
      <c r="DH113" s="31">
        <v>0.8251953125</v>
      </c>
      <c r="DI113" s="31">
        <v>0.78682170542635654</v>
      </c>
      <c r="DJ113" s="31">
        <v>0.8</v>
      </c>
      <c r="DK113" s="31">
        <v>0.82999044890162366</v>
      </c>
      <c r="DL113" s="31">
        <v>0.86183574879227054</v>
      </c>
      <c r="DM113" s="31">
        <v>0.83984747378455671</v>
      </c>
      <c r="DN113" s="31">
        <v>0.82050038849714213</v>
      </c>
      <c r="DO113" s="31">
        <v>0.82135922330097089</v>
      </c>
      <c r="DP113" s="31">
        <v>0.78309859154929573</v>
      </c>
      <c r="DQ113" s="31">
        <v>0.78536585365853662</v>
      </c>
      <c r="DR113" s="31">
        <v>0.78832838773491587</v>
      </c>
      <c r="DS113" s="31">
        <v>0.81800580832526626</v>
      </c>
      <c r="DT113" s="31">
        <v>0.83317713214620426</v>
      </c>
      <c r="DU113" s="31">
        <v>0.83831775700934574</v>
      </c>
      <c r="DV113" s="31">
        <v>0.80966467910350504</v>
      </c>
      <c r="DW113" s="31">
        <v>0.82558139534883723</v>
      </c>
      <c r="DX113" s="31">
        <v>0.802734375</v>
      </c>
      <c r="DY113" s="31">
        <v>0.84901960784313724</v>
      </c>
      <c r="DZ113" s="31">
        <v>0.83933787731256082</v>
      </c>
      <c r="EA113" s="31">
        <v>0.818957345971564</v>
      </c>
      <c r="EB113" s="31">
        <v>0.81067961165048541</v>
      </c>
      <c r="EC113" s="31">
        <v>0.84042553191489366</v>
      </c>
      <c r="ED113" s="31">
        <v>0.82667653500592553</v>
      </c>
      <c r="EE113" s="31">
        <v>0.83017077798861483</v>
      </c>
      <c r="EF113" s="31">
        <v>0.873046875</v>
      </c>
      <c r="EG113" s="31">
        <v>0.82063645130183216</v>
      </c>
      <c r="EH113" s="31">
        <v>0.81122942884801552</v>
      </c>
      <c r="EI113" s="31">
        <v>0.83765609990393852</v>
      </c>
      <c r="EJ113" s="31">
        <v>0.84807692307692306</v>
      </c>
      <c r="EK113" s="31">
        <v>0.82262703739213805</v>
      </c>
      <c r="EL113" s="31">
        <v>0.83477765621592315</v>
      </c>
    </row>
    <row r="114" spans="38:142" x14ac:dyDescent="0.35">
      <c r="AL114" s="19" t="s">
        <v>158</v>
      </c>
      <c r="AM114" s="31">
        <v>0.91481326059588752</v>
      </c>
      <c r="AN114" s="31">
        <v>0.9137857447716603</v>
      </c>
      <c r="AO114" s="31">
        <v>0.90674014412886816</v>
      </c>
      <c r="AP114" s="31">
        <v>0.91239316239316237</v>
      </c>
      <c r="AQ114" s="31">
        <v>0.91178929765886285</v>
      </c>
      <c r="AR114" s="31">
        <v>0.92479932403886778</v>
      </c>
      <c r="AS114" s="31">
        <v>0.92684989429175479</v>
      </c>
      <c r="AT114" s="31">
        <v>0.91588154683986633</v>
      </c>
      <c r="AU114" s="31">
        <v>0.92055485498108447</v>
      </c>
      <c r="AV114" s="31">
        <v>0.92008547008547004</v>
      </c>
      <c r="AW114" s="31">
        <v>0.91228813559322031</v>
      </c>
      <c r="AX114" s="31">
        <v>0.9124365482233503</v>
      </c>
      <c r="AY114" s="31">
        <v>0.91459823306689103</v>
      </c>
      <c r="AZ114" s="31">
        <v>0.93083087304934631</v>
      </c>
      <c r="BA114" s="31">
        <v>0.91994917407878019</v>
      </c>
      <c r="BB114" s="31">
        <v>0.9186776127254489</v>
      </c>
      <c r="BC114" s="31">
        <v>0.9417721518987342</v>
      </c>
      <c r="BD114" s="31">
        <v>0.92470389170896783</v>
      </c>
      <c r="BE114" s="31">
        <v>0.91814345991561186</v>
      </c>
      <c r="BF114" s="31">
        <v>0.9248945147679325</v>
      </c>
      <c r="BG114" s="31">
        <v>0.91264174716505675</v>
      </c>
      <c r="BH114" s="31">
        <v>0.93005510809665115</v>
      </c>
      <c r="BI114" s="31">
        <v>0.92443324937027704</v>
      </c>
      <c r="BJ114" s="31">
        <v>0.92523487470331867</v>
      </c>
      <c r="BK114" s="31">
        <v>0.81921618204804048</v>
      </c>
      <c r="BL114" s="31">
        <v>0.9188734762505254</v>
      </c>
      <c r="BM114" s="31">
        <v>0.84030418250950567</v>
      </c>
      <c r="BN114" s="31">
        <v>0.86169754416199917</v>
      </c>
      <c r="BO114" s="31">
        <v>0.87694246115077701</v>
      </c>
      <c r="BP114" s="31">
        <v>0.91298865069356872</v>
      </c>
      <c r="BQ114" s="31">
        <v>0.91238416175231674</v>
      </c>
      <c r="BR114" s="31">
        <v>0.87748666550953336</v>
      </c>
      <c r="BS114" s="31">
        <v>0.89475908706677942</v>
      </c>
      <c r="BT114" s="31">
        <v>0.86678126342930817</v>
      </c>
      <c r="BU114" s="31">
        <v>0.87568710359408031</v>
      </c>
      <c r="BV114" s="31">
        <v>0.89221052631578945</v>
      </c>
      <c r="BW114" s="31">
        <v>0.9108199492814878</v>
      </c>
      <c r="BX114" s="31">
        <v>0.89331619537275064</v>
      </c>
      <c r="BY114" s="31">
        <v>0.91758241758241754</v>
      </c>
      <c r="BZ114" s="31">
        <v>0.89302236323465889</v>
      </c>
      <c r="CA114" s="31">
        <v>0.92093404342482588</v>
      </c>
      <c r="CB114" s="31">
        <v>0.92597239648682561</v>
      </c>
      <c r="CC114" s="31">
        <v>0.91874999999999996</v>
      </c>
      <c r="CD114" s="31">
        <v>0.91767151767151767</v>
      </c>
      <c r="CE114" s="31">
        <v>0.93026151930261525</v>
      </c>
      <c r="CF114" s="31">
        <v>0.92365145228215773</v>
      </c>
      <c r="CG114" s="31">
        <v>0.93429158110882959</v>
      </c>
      <c r="CH114" s="31">
        <v>0.92450464432525314</v>
      </c>
      <c r="CI114" s="31">
        <v>0.88737060041407867</v>
      </c>
      <c r="CJ114" s="31">
        <v>0.92771581990912844</v>
      </c>
      <c r="CK114" s="31">
        <v>0.89987536352305775</v>
      </c>
      <c r="CL114" s="31">
        <v>0.90203918432626951</v>
      </c>
      <c r="CM114" s="31">
        <v>0.91217895608947808</v>
      </c>
      <c r="CN114" s="31">
        <v>0.91863843918638444</v>
      </c>
      <c r="CO114" s="31">
        <v>0.91250515889393313</v>
      </c>
      <c r="CP114" s="31">
        <v>0.90861764604890427</v>
      </c>
      <c r="CQ114" s="31">
        <v>0.89395194697597347</v>
      </c>
      <c r="CR114" s="31">
        <v>0.91058920477956329</v>
      </c>
      <c r="CS114" s="31">
        <v>0.89730848861283641</v>
      </c>
      <c r="CT114" s="31">
        <v>0.89603960396039606</v>
      </c>
      <c r="CU114" s="31">
        <v>0.92160929075072584</v>
      </c>
      <c r="CV114" s="31">
        <v>0.9211822660098522</v>
      </c>
      <c r="CW114" s="31">
        <v>0.94693200663349919</v>
      </c>
      <c r="CX114" s="31">
        <v>0.91251611538897814</v>
      </c>
      <c r="CY114" s="31">
        <v>0.89747899159663869</v>
      </c>
      <c r="CZ114" s="31">
        <v>0.91203319502074687</v>
      </c>
      <c r="DA114" s="31">
        <v>0.9164578111946533</v>
      </c>
      <c r="DB114" s="31">
        <v>0.92583333333333329</v>
      </c>
      <c r="DC114" s="31">
        <v>0.92056268100951588</v>
      </c>
      <c r="DD114" s="31">
        <v>0.91900826446280992</v>
      </c>
      <c r="DE114" s="31">
        <v>0.91137675185490519</v>
      </c>
      <c r="DF114" s="31">
        <v>0.914678718353229</v>
      </c>
      <c r="DG114" s="31">
        <v>0.92237442922374424</v>
      </c>
      <c r="DH114" s="31">
        <v>0.92546063651591293</v>
      </c>
      <c r="DI114" s="31">
        <v>0.91164154103852602</v>
      </c>
      <c r="DJ114" s="31">
        <v>0.91586437840100465</v>
      </c>
      <c r="DK114" s="31">
        <v>0.91975308641975306</v>
      </c>
      <c r="DL114" s="31">
        <v>0.93333333333333335</v>
      </c>
      <c r="DM114" s="31">
        <v>0.91178929765886285</v>
      </c>
      <c r="DN114" s="31">
        <v>0.92003095751301955</v>
      </c>
      <c r="DO114" s="31">
        <v>0.86529584557280737</v>
      </c>
      <c r="DP114" s="31">
        <v>0.92052144659377633</v>
      </c>
      <c r="DQ114" s="31">
        <v>0.84525303220409875</v>
      </c>
      <c r="DR114" s="31">
        <v>0.85738255033557043</v>
      </c>
      <c r="DS114" s="31">
        <v>0.88814411395056558</v>
      </c>
      <c r="DT114" s="31">
        <v>0.9134253450439147</v>
      </c>
      <c r="DU114" s="31">
        <v>0.8917676556623485</v>
      </c>
      <c r="DV114" s="31">
        <v>0.88311285562329733</v>
      </c>
      <c r="DW114" s="31">
        <v>0.90828025477707008</v>
      </c>
      <c r="DX114" s="31">
        <v>0.88240235195296091</v>
      </c>
      <c r="DY114" s="31">
        <v>0.89535864978902957</v>
      </c>
      <c r="DZ114" s="31">
        <v>0.91867852604828459</v>
      </c>
      <c r="EA114" s="31">
        <v>0.90889830508474578</v>
      </c>
      <c r="EB114" s="31">
        <v>0.91110183639399001</v>
      </c>
      <c r="EC114" s="31">
        <v>0.92022184300341292</v>
      </c>
      <c r="ED114" s="31">
        <v>0.90642025243564206</v>
      </c>
      <c r="EE114" s="31">
        <v>0.92025316455696204</v>
      </c>
      <c r="EF114" s="31">
        <v>0.93389830508474581</v>
      </c>
      <c r="EG114" s="31">
        <v>0.90312901843120441</v>
      </c>
      <c r="EH114" s="31">
        <v>0.91015118790496763</v>
      </c>
      <c r="EI114" s="31">
        <v>0.92971380471380471</v>
      </c>
      <c r="EJ114" s="31">
        <v>0.92417260159195647</v>
      </c>
      <c r="EK114" s="31">
        <v>0.94637620444072057</v>
      </c>
      <c r="EL114" s="31">
        <v>0.92395632667490879</v>
      </c>
    </row>
    <row r="115" spans="38:142" x14ac:dyDescent="0.35">
      <c r="AL115" s="19" t="s">
        <v>408</v>
      </c>
      <c r="AM115" s="31">
        <v>0.85682074408117248</v>
      </c>
      <c r="AN115" s="31">
        <v>0.82579185520361986</v>
      </c>
      <c r="AO115" s="31">
        <v>0.91063348416289591</v>
      </c>
      <c r="AP115" s="31">
        <v>0.88487584650112872</v>
      </c>
      <c r="AQ115" s="31">
        <v>0.84216589861751157</v>
      </c>
      <c r="AR115" s="31">
        <v>0.8340857787810384</v>
      </c>
      <c r="AS115" s="31">
        <v>0.82494279176201368</v>
      </c>
      <c r="AT115" s="31">
        <v>0.85418805701562595</v>
      </c>
      <c r="AU115" s="31">
        <v>0.9058441558441559</v>
      </c>
      <c r="AV115" s="31">
        <v>0.89639639639639634</v>
      </c>
      <c r="AW115" s="31">
        <v>0.83440860215053758</v>
      </c>
      <c r="AX115" s="31">
        <v>0.86066452304394425</v>
      </c>
      <c r="AY115" s="31">
        <v>0.9054347826086957</v>
      </c>
      <c r="AZ115" s="31">
        <v>0.90869086908690866</v>
      </c>
      <c r="BA115" s="31">
        <v>0.91859185918591857</v>
      </c>
      <c r="BB115" s="31">
        <v>0.89000445547379381</v>
      </c>
      <c r="BC115" s="31">
        <v>0.89270386266094426</v>
      </c>
      <c r="BD115" s="31">
        <v>0.9115426105717368</v>
      </c>
      <c r="BE115" s="31">
        <v>0.8614718614718615</v>
      </c>
      <c r="BF115" s="31">
        <v>0.88864864864864868</v>
      </c>
      <c r="BG115" s="31">
        <v>0.91141942369263607</v>
      </c>
      <c r="BH115" s="31">
        <v>0.91122994652406419</v>
      </c>
      <c r="BI115" s="31">
        <v>0.90440386680988183</v>
      </c>
      <c r="BJ115" s="31">
        <v>0.89734574576853898</v>
      </c>
      <c r="BK115" s="31">
        <v>0.7468499427262314</v>
      </c>
      <c r="BL115" s="31">
        <v>0.89067524115755625</v>
      </c>
      <c r="BM115" s="31">
        <v>0.76818181818181819</v>
      </c>
      <c r="BN115" s="31">
        <v>0.78905359179019385</v>
      </c>
      <c r="BO115" s="31">
        <v>0.82466063348416285</v>
      </c>
      <c r="BP115" s="31">
        <v>0.87339055793991416</v>
      </c>
      <c r="BQ115" s="31">
        <v>0.86703910614525137</v>
      </c>
      <c r="BR115" s="31">
        <v>0.82283584163216117</v>
      </c>
      <c r="BS115" s="31">
        <v>0.87334315169366716</v>
      </c>
      <c r="BT115" s="31">
        <v>0.82896237172177878</v>
      </c>
      <c r="BU115" s="31">
        <v>0.90369540873460241</v>
      </c>
      <c r="BV115" s="31">
        <v>0.90492554410080184</v>
      </c>
      <c r="BW115" s="31">
        <v>0.92031425364758701</v>
      </c>
      <c r="BX115" s="31">
        <v>0.87736900780379046</v>
      </c>
      <c r="BY115" s="31">
        <v>0.90497237569060773</v>
      </c>
      <c r="BZ115" s="31">
        <v>0.8876545876275479</v>
      </c>
      <c r="CA115" s="31">
        <v>0.87414187643020591</v>
      </c>
      <c r="CB115" s="31">
        <v>0.88061336254107336</v>
      </c>
      <c r="CC115" s="31">
        <v>0.86043829296424457</v>
      </c>
      <c r="CD115" s="31">
        <v>0.83255813953488367</v>
      </c>
      <c r="CE115" s="31">
        <v>0.88049605411499432</v>
      </c>
      <c r="CF115" s="31">
        <v>0.89154013015184386</v>
      </c>
      <c r="CG115" s="31">
        <v>0.8793296089385475</v>
      </c>
      <c r="CH115" s="31">
        <v>0.87130249495368461</v>
      </c>
      <c r="CI115" s="31">
        <v>0.81438515081206497</v>
      </c>
      <c r="CJ115" s="31">
        <v>0.81456200227531284</v>
      </c>
      <c r="CK115" s="31">
        <v>0.78164924506387923</v>
      </c>
      <c r="CL115" s="31">
        <v>0.77519379844961245</v>
      </c>
      <c r="CM115" s="31">
        <v>0.87738095238095237</v>
      </c>
      <c r="CN115" s="31">
        <v>0.83027522935779818</v>
      </c>
      <c r="CO115" s="31">
        <v>0.85088757396449699</v>
      </c>
      <c r="CP115" s="31">
        <v>0.82061913604344539</v>
      </c>
      <c r="CQ115" s="31">
        <v>0.84473398479913142</v>
      </c>
      <c r="CR115" s="31">
        <v>0.83560090702947842</v>
      </c>
      <c r="CS115" s="31">
        <v>0.78101402373247031</v>
      </c>
      <c r="CT115" s="31">
        <v>0.80366774541531827</v>
      </c>
      <c r="CU115" s="31">
        <v>0.83193277310924374</v>
      </c>
      <c r="CV115" s="31">
        <v>0.80065717415115001</v>
      </c>
      <c r="CW115" s="31">
        <v>0.7931769722814499</v>
      </c>
      <c r="CX115" s="31">
        <v>0.81296908293117731</v>
      </c>
      <c r="CY115" s="31">
        <v>0.85331905781584583</v>
      </c>
      <c r="CZ115" s="31">
        <v>0.85557986870897151</v>
      </c>
      <c r="DA115" s="31">
        <v>0.842443729903537</v>
      </c>
      <c r="DB115" s="31">
        <v>0.86937431394072451</v>
      </c>
      <c r="DC115" s="31">
        <v>0.84098185699039485</v>
      </c>
      <c r="DD115" s="31">
        <v>0.84766050054406961</v>
      </c>
      <c r="DE115" s="31">
        <v>0.87810383747178333</v>
      </c>
      <c r="DF115" s="31">
        <v>0.8553518807679038</v>
      </c>
      <c r="DG115" s="31">
        <v>0.85443037974683544</v>
      </c>
      <c r="DH115" s="31">
        <v>0.89415656008820288</v>
      </c>
      <c r="DI115" s="31">
        <v>0.83456269757639623</v>
      </c>
      <c r="DJ115" s="31">
        <v>0.84071729957805907</v>
      </c>
      <c r="DK115" s="31">
        <v>0.84439834024896265</v>
      </c>
      <c r="DL115" s="31">
        <v>0.83733055265901979</v>
      </c>
      <c r="DM115" s="31">
        <v>0.84470094438614896</v>
      </c>
      <c r="DN115" s="31">
        <v>0.85004239632623213</v>
      </c>
      <c r="DO115" s="31">
        <v>0.88260405549626464</v>
      </c>
      <c r="DP115" s="31">
        <v>0.91409691629955947</v>
      </c>
      <c r="DQ115" s="31">
        <v>0.81664910432033722</v>
      </c>
      <c r="DR115" s="31">
        <v>0.80927291886195996</v>
      </c>
      <c r="DS115" s="31">
        <v>0.87513340448239063</v>
      </c>
      <c r="DT115" s="31">
        <v>0.88396624472573837</v>
      </c>
      <c r="DU115" s="31">
        <v>0.88653234358430544</v>
      </c>
      <c r="DV115" s="31">
        <v>0.8668935696815081</v>
      </c>
      <c r="DW115" s="31">
        <v>0.83725910064239828</v>
      </c>
      <c r="DX115" s="31">
        <v>0.8577494692144374</v>
      </c>
      <c r="DY115" s="31">
        <v>0.84968017057569301</v>
      </c>
      <c r="DZ115" s="31">
        <v>0.84525080042689438</v>
      </c>
      <c r="EA115" s="31">
        <v>0.8391906283280085</v>
      </c>
      <c r="EB115" s="31">
        <v>0.84694932781799381</v>
      </c>
      <c r="EC115" s="31">
        <v>0.84326018808777425</v>
      </c>
      <c r="ED115" s="31">
        <v>0.84561995501331422</v>
      </c>
      <c r="EE115" s="31">
        <v>0.85624999999999996</v>
      </c>
      <c r="EF115" s="31">
        <v>0.85579937304075238</v>
      </c>
      <c r="EG115" s="31">
        <v>0.80437044745057229</v>
      </c>
      <c r="EH115" s="31">
        <v>0.81846473029045641</v>
      </c>
      <c r="EI115" s="31">
        <v>0.87578288100208768</v>
      </c>
      <c r="EJ115" s="31">
        <v>0.87878787878787878</v>
      </c>
      <c r="EK115" s="31">
        <v>0.86893704850361198</v>
      </c>
      <c r="EL115" s="31">
        <v>0.8511989084393371</v>
      </c>
    </row>
    <row r="116" spans="38:142" x14ac:dyDescent="0.35">
      <c r="AL116" s="19" t="s">
        <v>159</v>
      </c>
      <c r="AM116" s="31">
        <v>0.91257367387033395</v>
      </c>
      <c r="AN116" s="31">
        <v>0.89715964740450538</v>
      </c>
      <c r="AO116" s="31">
        <v>0.91304347826086951</v>
      </c>
      <c r="AP116" s="31">
        <v>0.90513833992094861</v>
      </c>
      <c r="AQ116" s="31">
        <v>0.91828793774319062</v>
      </c>
      <c r="AR116" s="31">
        <v>0.91453831041257372</v>
      </c>
      <c r="AS116" s="31">
        <v>0.92254220456802383</v>
      </c>
      <c r="AT116" s="31">
        <v>0.91189765602577777</v>
      </c>
      <c r="AU116" s="31">
        <v>0.95750988142292492</v>
      </c>
      <c r="AV116" s="31">
        <v>0.89271653543307083</v>
      </c>
      <c r="AW116" s="31">
        <v>0.95281124497991965</v>
      </c>
      <c r="AX116" s="31">
        <v>0.94360523665659612</v>
      </c>
      <c r="AY116" s="31">
        <v>0.94602551521099121</v>
      </c>
      <c r="AZ116" s="31">
        <v>0.95776031434184672</v>
      </c>
      <c r="BA116" s="31">
        <v>0.93786407766990287</v>
      </c>
      <c r="BB116" s="31">
        <v>0.94118468653075038</v>
      </c>
      <c r="BC116" s="31">
        <v>0.95044598612487607</v>
      </c>
      <c r="BD116" s="31">
        <v>0.9648946840521565</v>
      </c>
      <c r="BE116" s="31">
        <v>0.9314115308151093</v>
      </c>
      <c r="BF116" s="31">
        <v>0.92458374142997057</v>
      </c>
      <c r="BG116" s="31">
        <v>0.94669299111549854</v>
      </c>
      <c r="BH116" s="31">
        <v>0.96713147410358569</v>
      </c>
      <c r="BI116" s="31">
        <v>0.96230158730158732</v>
      </c>
      <c r="BJ116" s="31">
        <v>0.9496374278489691</v>
      </c>
      <c r="BK116" s="31">
        <v>0.80773143438453709</v>
      </c>
      <c r="BL116" s="31">
        <v>0.94695481335952847</v>
      </c>
      <c r="BM116" s="31">
        <v>0.86331658291457292</v>
      </c>
      <c r="BN116" s="31">
        <v>0.90594059405940597</v>
      </c>
      <c r="BO116" s="31">
        <v>0.9207622868605817</v>
      </c>
      <c r="BP116" s="31">
        <v>0.94851485148514847</v>
      </c>
      <c r="BQ116" s="31">
        <v>0.91940298507462681</v>
      </c>
      <c r="BR116" s="31">
        <v>0.90180336401977157</v>
      </c>
      <c r="BS116" s="31">
        <v>0.89990281827016516</v>
      </c>
      <c r="BT116" s="31">
        <v>0.9285714285714286</v>
      </c>
      <c r="BU116" s="31">
        <v>0.91690821256038646</v>
      </c>
      <c r="BV116" s="31">
        <v>0.91586073500967113</v>
      </c>
      <c r="BW116" s="31">
        <v>0.93445878848063557</v>
      </c>
      <c r="BX116" s="31">
        <v>0.93525896414342624</v>
      </c>
      <c r="BY116" s="31">
        <v>0.94632206759443338</v>
      </c>
      <c r="BZ116" s="31">
        <v>0.9253261449471637</v>
      </c>
      <c r="CA116" s="31">
        <v>0.93939393939393945</v>
      </c>
      <c r="CB116" s="31">
        <v>0.93877551020408168</v>
      </c>
      <c r="CC116" s="31">
        <v>0.94675701839303006</v>
      </c>
      <c r="CD116" s="31">
        <v>0.9584139264990329</v>
      </c>
      <c r="CE116" s="31">
        <v>0.93532818532818529</v>
      </c>
      <c r="CF116" s="31">
        <v>0.93683187560738579</v>
      </c>
      <c r="CG116" s="31">
        <v>0.95053346265761396</v>
      </c>
      <c r="CH116" s="31">
        <v>0.9437191311547527</v>
      </c>
      <c r="CI116" s="31">
        <v>0.92038834951456305</v>
      </c>
      <c r="CJ116" s="31">
        <v>0.96195121951219509</v>
      </c>
      <c r="CK116" s="31">
        <v>0.90704500978473579</v>
      </c>
      <c r="CL116" s="31">
        <v>0.91380999020568066</v>
      </c>
      <c r="CM116" s="31">
        <v>0.94787644787644787</v>
      </c>
      <c r="CN116" s="31">
        <v>0.95369458128078821</v>
      </c>
      <c r="CO116" s="31">
        <v>0.91458733205374276</v>
      </c>
      <c r="CP116" s="31">
        <v>0.93133613288973627</v>
      </c>
      <c r="CQ116" s="31">
        <v>0.93346190935390549</v>
      </c>
      <c r="CR116" s="31">
        <v>0.93570722057368938</v>
      </c>
      <c r="CS116" s="31">
        <v>0.91949563530552858</v>
      </c>
      <c r="CT116" s="31">
        <v>0.93539054966248791</v>
      </c>
      <c r="CU116" s="31">
        <v>0.9398058252427185</v>
      </c>
      <c r="CV116" s="31">
        <v>0.96480938416422291</v>
      </c>
      <c r="CW116" s="31">
        <v>0.94204322200392931</v>
      </c>
      <c r="CX116" s="31">
        <v>0.93867339232949742</v>
      </c>
      <c r="CY116" s="31">
        <v>0.93822393822393824</v>
      </c>
      <c r="CZ116" s="31">
        <v>0.92725509214354995</v>
      </c>
      <c r="DA116" s="31">
        <v>0.91634980988593151</v>
      </c>
      <c r="DB116" s="31">
        <v>0.90142180094786728</v>
      </c>
      <c r="DC116" s="31">
        <v>0.95415472779369626</v>
      </c>
      <c r="DD116" s="31">
        <v>0.95265700483091786</v>
      </c>
      <c r="DE116" s="31">
        <v>0.94921875</v>
      </c>
      <c r="DF116" s="31">
        <v>0.93418301768941447</v>
      </c>
      <c r="DG116" s="31">
        <v>0.89648622981956316</v>
      </c>
      <c r="DH116" s="31">
        <v>0.93027698185291308</v>
      </c>
      <c r="DI116" s="31">
        <v>0.87007874015748032</v>
      </c>
      <c r="DJ116" s="31">
        <v>0.88275862068965516</v>
      </c>
      <c r="DK116" s="31">
        <v>0.91578947368421049</v>
      </c>
      <c r="DL116" s="31">
        <v>0.9220404234841193</v>
      </c>
      <c r="DM116" s="31">
        <v>0.90403071017274472</v>
      </c>
      <c r="DN116" s="31">
        <v>0.90306588283724076</v>
      </c>
      <c r="DO116" s="31">
        <v>0.93114080164439872</v>
      </c>
      <c r="DP116" s="31">
        <v>0.91425722831505485</v>
      </c>
      <c r="DQ116" s="31">
        <v>0.88988095238095233</v>
      </c>
      <c r="DR116" s="31">
        <v>0.90268123138033762</v>
      </c>
      <c r="DS116" s="31">
        <v>0.91176470588235292</v>
      </c>
      <c r="DT116" s="31">
        <v>0.92416582406471182</v>
      </c>
      <c r="DU116" s="31">
        <v>0.92269076305220887</v>
      </c>
      <c r="DV116" s="31">
        <v>0.91379735810285967</v>
      </c>
      <c r="DW116" s="31">
        <v>0.95078740157480313</v>
      </c>
      <c r="DX116" s="31">
        <v>0.94747474747474747</v>
      </c>
      <c r="DY116" s="31">
        <v>0.94117647058823528</v>
      </c>
      <c r="DZ116" s="31">
        <v>0.94583751253761283</v>
      </c>
      <c r="EA116" s="31">
        <v>0.94736842105263153</v>
      </c>
      <c r="EB116" s="31">
        <v>0.93260654112983155</v>
      </c>
      <c r="EC116" s="31">
        <v>0.93596059113300489</v>
      </c>
      <c r="ED116" s="31">
        <v>0.94303024078440945</v>
      </c>
      <c r="EE116" s="31">
        <v>0.96215139442231079</v>
      </c>
      <c r="EF116" s="31">
        <v>0.96589769307923767</v>
      </c>
      <c r="EG116" s="31">
        <v>0.95495495495495497</v>
      </c>
      <c r="EH116" s="31">
        <v>0.94610778443113774</v>
      </c>
      <c r="EI116" s="31">
        <v>0.95691382765531063</v>
      </c>
      <c r="EJ116" s="31">
        <v>0.96513944223107573</v>
      </c>
      <c r="EK116" s="31">
        <v>0.95376884422110553</v>
      </c>
      <c r="EL116" s="31">
        <v>0.95784770585644752</v>
      </c>
    </row>
    <row r="117" spans="38:142" x14ac:dyDescent="0.35">
      <c r="AL117" s="19" t="s">
        <v>437</v>
      </c>
      <c r="AM117" s="31">
        <v>0.89865563598759046</v>
      </c>
      <c r="AN117" s="31">
        <v>0.80712788259958068</v>
      </c>
      <c r="AO117" s="31">
        <v>0.84269662921348309</v>
      </c>
      <c r="AP117" s="31">
        <v>0.83955600403632691</v>
      </c>
      <c r="AQ117" s="31">
        <v>0.87079831932773111</v>
      </c>
      <c r="AR117" s="31">
        <v>0.85623678646934465</v>
      </c>
      <c r="AS117" s="31">
        <v>0.87407407407407411</v>
      </c>
      <c r="AT117" s="31">
        <v>0.85559219024401867</v>
      </c>
      <c r="AU117" s="31">
        <v>0.88608870967741937</v>
      </c>
      <c r="AV117" s="31">
        <v>0.86618998978549544</v>
      </c>
      <c r="AW117" s="31">
        <v>0.87227722772277227</v>
      </c>
      <c r="AX117" s="31">
        <v>0.88855421686746983</v>
      </c>
      <c r="AY117" s="31">
        <v>0.88888888888888884</v>
      </c>
      <c r="AZ117" s="31">
        <v>0.90283400809716596</v>
      </c>
      <c r="BA117" s="31">
        <v>0.9101123595505618</v>
      </c>
      <c r="BB117" s="31">
        <v>0.88784934294139617</v>
      </c>
      <c r="BC117" s="31">
        <v>0.88645418326693226</v>
      </c>
      <c r="BD117" s="31">
        <v>0.91144278606965179</v>
      </c>
      <c r="BE117" s="31">
        <v>0.8776541961577351</v>
      </c>
      <c r="BF117" s="31">
        <v>0.84194214876033058</v>
      </c>
      <c r="BG117" s="31">
        <v>0.91975927783350053</v>
      </c>
      <c r="BH117" s="31">
        <v>0.92066601371204704</v>
      </c>
      <c r="BI117" s="31">
        <v>0.89990089197224976</v>
      </c>
      <c r="BJ117" s="31">
        <v>0.89397421396749244</v>
      </c>
      <c r="BK117" s="31">
        <v>0.6913183279742765</v>
      </c>
      <c r="BL117" s="31">
        <v>0.84194528875379937</v>
      </c>
      <c r="BM117" s="31">
        <v>0.73927038626609443</v>
      </c>
      <c r="BN117" s="31">
        <v>0.78646934460887952</v>
      </c>
      <c r="BO117" s="31">
        <v>0.76708074534161486</v>
      </c>
      <c r="BP117" s="31">
        <v>0.85091277890466532</v>
      </c>
      <c r="BQ117" s="31">
        <v>0.8345177664974619</v>
      </c>
      <c r="BR117" s="31">
        <v>0.78735923404954178</v>
      </c>
      <c r="BS117" s="31">
        <v>0.79941002949852502</v>
      </c>
      <c r="BT117" s="31">
        <v>0.76682926829268294</v>
      </c>
      <c r="BU117" s="31">
        <v>0.84552845528455289</v>
      </c>
      <c r="BV117" s="31">
        <v>0.88810483870967738</v>
      </c>
      <c r="BW117" s="31">
        <v>0.8291015625</v>
      </c>
      <c r="BX117" s="31">
        <v>0.84732052578361983</v>
      </c>
      <c r="BY117" s="31">
        <v>0.81782945736434109</v>
      </c>
      <c r="BZ117" s="31">
        <v>0.82773201963334275</v>
      </c>
      <c r="CA117" s="31">
        <v>0.88088376560999038</v>
      </c>
      <c r="CB117" s="31">
        <v>0.91724137931034477</v>
      </c>
      <c r="CC117" s="31">
        <v>0.8520309477756286</v>
      </c>
      <c r="CD117" s="31">
        <v>0.86473429951690817</v>
      </c>
      <c r="CE117" s="31">
        <v>0.8758357211079274</v>
      </c>
      <c r="CF117" s="31">
        <v>0.8946360153256705</v>
      </c>
      <c r="CG117" s="31">
        <v>0.89622641509433965</v>
      </c>
      <c r="CH117" s="31">
        <v>0.88308407767725861</v>
      </c>
      <c r="CI117" s="31">
        <v>0.86894586894586889</v>
      </c>
      <c r="CJ117" s="31">
        <v>0.86960690316395017</v>
      </c>
      <c r="CK117" s="31">
        <v>0.89299610894941639</v>
      </c>
      <c r="CL117" s="31">
        <v>0.90731707317073174</v>
      </c>
      <c r="CM117" s="31">
        <v>0.89611650485436889</v>
      </c>
      <c r="CN117" s="31">
        <v>0.90476190476190477</v>
      </c>
      <c r="CO117" s="31">
        <v>0.89268292682926831</v>
      </c>
      <c r="CP117" s="31">
        <v>0.89034675581078715</v>
      </c>
      <c r="CQ117" s="31">
        <v>0.86509433962264148</v>
      </c>
      <c r="CR117" s="31">
        <v>0.92550143266475648</v>
      </c>
      <c r="CS117" s="31">
        <v>0.84289746001881471</v>
      </c>
      <c r="CT117" s="31">
        <v>0.84215413184772514</v>
      </c>
      <c r="CU117" s="31">
        <v>0.84786641929499074</v>
      </c>
      <c r="CV117" s="31">
        <v>0.90347490347490345</v>
      </c>
      <c r="CW117" s="31">
        <v>0.87686567164179108</v>
      </c>
      <c r="CX117" s="31">
        <v>0.87197919408080338</v>
      </c>
      <c r="CY117" s="31">
        <v>0.83867832847424684</v>
      </c>
      <c r="CZ117" s="31">
        <v>0.87188940092165901</v>
      </c>
      <c r="DA117" s="31">
        <v>0.84307992202729043</v>
      </c>
      <c r="DB117" s="31">
        <v>0.83365384615384619</v>
      </c>
      <c r="DC117" s="31">
        <v>0.8403846153846154</v>
      </c>
      <c r="DD117" s="31">
        <v>0.87686567164179108</v>
      </c>
      <c r="DE117" s="31">
        <v>0.86316776007497653</v>
      </c>
      <c r="DF117" s="31">
        <v>0.85253136352548931</v>
      </c>
      <c r="DG117" s="31">
        <v>0.88282025819265142</v>
      </c>
      <c r="DH117" s="31">
        <v>0.86411483253588517</v>
      </c>
      <c r="DI117" s="31">
        <v>0.84615384615384615</v>
      </c>
      <c r="DJ117" s="31">
        <v>0.84114832535885165</v>
      </c>
      <c r="DK117" s="31">
        <v>0.8505859375</v>
      </c>
      <c r="DL117" s="31">
        <v>0.86250000000000004</v>
      </c>
      <c r="DM117" s="31">
        <v>0.87415295256534364</v>
      </c>
      <c r="DN117" s="31">
        <v>0.86021087890093972</v>
      </c>
      <c r="DO117" s="31">
        <v>0.81137440758293844</v>
      </c>
      <c r="DP117" s="31">
        <v>0.85823754789272033</v>
      </c>
      <c r="DQ117" s="31">
        <v>0.78820116054158607</v>
      </c>
      <c r="DR117" s="31">
        <v>0.82647058823529407</v>
      </c>
      <c r="DS117" s="31">
        <v>0.7919847328244275</v>
      </c>
      <c r="DT117" s="31">
        <v>0.85911330049261081</v>
      </c>
      <c r="DU117" s="31">
        <v>0.84887144259077529</v>
      </c>
      <c r="DV117" s="31">
        <v>0.82632188288005037</v>
      </c>
      <c r="DW117" s="31">
        <v>0.8549172346640701</v>
      </c>
      <c r="DX117" s="31">
        <v>0.83754863813229574</v>
      </c>
      <c r="DY117" s="31">
        <v>0.83596837944664026</v>
      </c>
      <c r="DZ117" s="31">
        <v>0.84630738522954096</v>
      </c>
      <c r="EA117" s="31">
        <v>0.87293889427740057</v>
      </c>
      <c r="EB117" s="31">
        <v>0.88052208835341361</v>
      </c>
      <c r="EC117" s="31">
        <v>0.87462686567164183</v>
      </c>
      <c r="ED117" s="31">
        <v>0.85754706939642922</v>
      </c>
      <c r="EE117" s="31">
        <v>0.88514851485148516</v>
      </c>
      <c r="EF117" s="31">
        <v>0.86854917234664075</v>
      </c>
      <c r="EG117" s="31">
        <v>0.80399619410085632</v>
      </c>
      <c r="EH117" s="31">
        <v>0.79206049149338376</v>
      </c>
      <c r="EI117" s="31">
        <v>0.87118320610687028</v>
      </c>
      <c r="EJ117" s="31">
        <v>0.86549707602339176</v>
      </c>
      <c r="EK117" s="31">
        <v>0.83365758754863817</v>
      </c>
      <c r="EL117" s="31">
        <v>0.84572746321018089</v>
      </c>
    </row>
    <row r="118" spans="38:142" x14ac:dyDescent="0.35">
      <c r="AL118" s="19" t="s">
        <v>225</v>
      </c>
      <c r="AM118" s="31">
        <v>0.91629297458893877</v>
      </c>
      <c r="AN118" s="31">
        <v>0.80672268907563027</v>
      </c>
      <c r="AO118" s="31">
        <v>0.89469753547423447</v>
      </c>
      <c r="AP118" s="31">
        <v>0.68952524491333833</v>
      </c>
      <c r="AQ118" s="31">
        <v>0.87424698795180722</v>
      </c>
      <c r="AR118" s="31">
        <v>0.84853051996985684</v>
      </c>
      <c r="AS118" s="31">
        <v>0.87319665907365229</v>
      </c>
      <c r="AT118" s="31">
        <v>0.84331608729249397</v>
      </c>
      <c r="AU118" s="31">
        <v>0.90762124711316394</v>
      </c>
      <c r="AV118" s="31">
        <v>0.89675516224188789</v>
      </c>
      <c r="AW118" s="31">
        <v>0.89805447470817124</v>
      </c>
      <c r="AX118" s="31">
        <v>0.87769230769230766</v>
      </c>
      <c r="AY118" s="31">
        <v>0.90399385560675882</v>
      </c>
      <c r="AZ118" s="31">
        <v>0.91503759398496243</v>
      </c>
      <c r="BA118" s="31">
        <v>0.92412746585735961</v>
      </c>
      <c r="BB118" s="31">
        <v>0.90332601531494461</v>
      </c>
      <c r="BC118" s="31">
        <v>0.94846153846153847</v>
      </c>
      <c r="BD118" s="31">
        <v>0.90568978955572876</v>
      </c>
      <c r="BE118" s="31">
        <v>0.69541984732824424</v>
      </c>
      <c r="BF118" s="31">
        <v>0.89636913767019666</v>
      </c>
      <c r="BG118" s="31">
        <v>0.92337164750957856</v>
      </c>
      <c r="BH118" s="31">
        <v>0.92985190958690567</v>
      </c>
      <c r="BI118" s="31">
        <v>0.92540792540792538</v>
      </c>
      <c r="BJ118" s="31">
        <v>0.88922454221715974</v>
      </c>
      <c r="BK118" s="31">
        <v>0.74416854778028596</v>
      </c>
      <c r="BL118" s="31">
        <v>0.91349739000745711</v>
      </c>
      <c r="BM118" s="31">
        <v>0.73825503355704702</v>
      </c>
      <c r="BN118" s="31">
        <v>0.76646706586826352</v>
      </c>
      <c r="BO118" s="31">
        <v>0.81634182908545727</v>
      </c>
      <c r="BP118" s="31">
        <v>0.89716840536512665</v>
      </c>
      <c r="BQ118" s="31">
        <v>0.88429752066115708</v>
      </c>
      <c r="BR118" s="31">
        <v>0.8228851131892565</v>
      </c>
      <c r="BS118" s="31">
        <v>0.8818316100443131</v>
      </c>
      <c r="BT118" s="31">
        <v>0.80437956204379557</v>
      </c>
      <c r="BU118" s="31">
        <v>0.90097524381095273</v>
      </c>
      <c r="BV118" s="31">
        <v>0.8963460104399702</v>
      </c>
      <c r="BW118" s="31">
        <v>0.91058122205663194</v>
      </c>
      <c r="BX118" s="31">
        <v>0.85236363636363632</v>
      </c>
      <c r="BY118" s="31">
        <v>0.8978102189781022</v>
      </c>
      <c r="BZ118" s="31">
        <v>0.87775535767677171</v>
      </c>
      <c r="CA118" s="31">
        <v>0.85365853658536583</v>
      </c>
      <c r="CB118" s="31">
        <v>0.92386530014641288</v>
      </c>
      <c r="CC118" s="31">
        <v>0.84500745156482859</v>
      </c>
      <c r="CD118" s="31">
        <v>0.84820747520976358</v>
      </c>
      <c r="CE118" s="31">
        <v>0.89211309523809523</v>
      </c>
      <c r="CF118" s="31">
        <v>0.92052980132450335</v>
      </c>
      <c r="CG118" s="31">
        <v>0.90606508875739644</v>
      </c>
      <c r="CH118" s="31">
        <v>0.88420667840376643</v>
      </c>
      <c r="CI118" s="31">
        <v>0.85996955859969559</v>
      </c>
      <c r="CJ118" s="31">
        <v>0.90287490287490291</v>
      </c>
      <c r="CK118" s="31">
        <v>0.82258064516129037</v>
      </c>
      <c r="CL118" s="31">
        <v>0.8379204892966361</v>
      </c>
      <c r="CM118" s="31">
        <v>0.85703305149884701</v>
      </c>
      <c r="CN118" s="31">
        <v>0.88361408882082693</v>
      </c>
      <c r="CO118" s="31">
        <v>0.87193251533742333</v>
      </c>
      <c r="CP118" s="31">
        <v>0.86227503594137467</v>
      </c>
      <c r="CQ118" s="31">
        <v>0.86611817501869859</v>
      </c>
      <c r="CR118" s="31">
        <v>0.87791601866251945</v>
      </c>
      <c r="CS118" s="31">
        <v>0.86582653817642696</v>
      </c>
      <c r="CT118" s="31">
        <v>0.8674074074074074</v>
      </c>
      <c r="CU118" s="31">
        <v>0.86552748885586928</v>
      </c>
      <c r="CV118" s="31">
        <v>0.86611817501869859</v>
      </c>
      <c r="CW118" s="31">
        <v>0.86137879911045223</v>
      </c>
      <c r="CX118" s="31">
        <v>0.86718465746429607</v>
      </c>
      <c r="CY118" s="31">
        <v>0.85991058122205666</v>
      </c>
      <c r="CZ118" s="31">
        <v>0.8554913294797688</v>
      </c>
      <c r="DA118" s="31">
        <v>0.85291943828529193</v>
      </c>
      <c r="DB118" s="31">
        <v>0.87976101568334575</v>
      </c>
      <c r="DC118" s="31">
        <v>0.85449146250927988</v>
      </c>
      <c r="DD118" s="31">
        <v>0.86573734409391045</v>
      </c>
      <c r="DE118" s="31">
        <v>0.87767133382461315</v>
      </c>
      <c r="DF118" s="31">
        <v>0.86371178644260937</v>
      </c>
      <c r="DG118" s="31">
        <v>0.85757121439280359</v>
      </c>
      <c r="DH118" s="31">
        <v>0.89718934911242598</v>
      </c>
      <c r="DI118" s="31">
        <v>0.84182908545727131</v>
      </c>
      <c r="DJ118" s="31">
        <v>0.82572924457741215</v>
      </c>
      <c r="DK118" s="31">
        <v>0.88631264023934186</v>
      </c>
      <c r="DL118" s="31">
        <v>0.91753343239227336</v>
      </c>
      <c r="DM118" s="31">
        <v>0.89860396767083028</v>
      </c>
      <c r="DN118" s="31">
        <v>0.87496699054890836</v>
      </c>
      <c r="DO118" s="31">
        <v>0.84586746090841403</v>
      </c>
      <c r="DP118" s="31">
        <v>0.85639880952380953</v>
      </c>
      <c r="DQ118" s="31">
        <v>0.83433283358320842</v>
      </c>
      <c r="DR118" s="31">
        <v>0.82204020848845871</v>
      </c>
      <c r="DS118" s="31">
        <v>0.85630066322770815</v>
      </c>
      <c r="DT118" s="31">
        <v>0.89423076923076927</v>
      </c>
      <c r="DU118" s="31">
        <v>0.87831858407079644</v>
      </c>
      <c r="DV118" s="31">
        <v>0.85535561843330921</v>
      </c>
      <c r="DW118" s="31">
        <v>0.83943241224794618</v>
      </c>
      <c r="DX118" s="31">
        <v>0.84735666418466116</v>
      </c>
      <c r="DY118" s="31">
        <v>0.80669144981412644</v>
      </c>
      <c r="DZ118" s="31">
        <v>0.81925055106539313</v>
      </c>
      <c r="EA118" s="31">
        <v>0.85746268656716418</v>
      </c>
      <c r="EB118" s="31">
        <v>0.86373790022338048</v>
      </c>
      <c r="EC118" s="31">
        <v>0.86043058648849291</v>
      </c>
      <c r="ED118" s="31">
        <v>0.8420517500844521</v>
      </c>
      <c r="EE118" s="31">
        <v>0.83621337340345603</v>
      </c>
      <c r="EF118" s="31">
        <v>0.85131195335276966</v>
      </c>
      <c r="EG118" s="31">
        <v>0.78345323741007189</v>
      </c>
      <c r="EH118" s="31">
        <v>0.78498542274052474</v>
      </c>
      <c r="EI118" s="31">
        <v>0.84202682563338305</v>
      </c>
      <c r="EJ118" s="31">
        <v>0.8897005113221329</v>
      </c>
      <c r="EK118" s="31">
        <v>0.86010362694300513</v>
      </c>
      <c r="EL118" s="31">
        <v>0.83539927868647779</v>
      </c>
    </row>
    <row r="119" spans="38:142" x14ac:dyDescent="0.35">
      <c r="AL119" s="19" t="s">
        <v>160</v>
      </c>
      <c r="AM119" s="31">
        <v>0.87712418300653594</v>
      </c>
      <c r="AN119" s="31">
        <v>0.83143219264892265</v>
      </c>
      <c r="AO119" s="31">
        <v>0.86812458581842278</v>
      </c>
      <c r="AP119" s="31">
        <v>0.84493041749502984</v>
      </c>
      <c r="AQ119" s="31">
        <v>0.85732730794060685</v>
      </c>
      <c r="AR119" s="31">
        <v>0.8548593350383632</v>
      </c>
      <c r="AS119" s="31">
        <v>0.85320512820512817</v>
      </c>
      <c r="AT119" s="31">
        <v>0.85528616430757276</v>
      </c>
      <c r="AU119" s="31">
        <v>0.89229765013054829</v>
      </c>
      <c r="AV119" s="31">
        <v>0.86679920477137173</v>
      </c>
      <c r="AW119" s="31">
        <v>0.89755452742894914</v>
      </c>
      <c r="AX119" s="31">
        <v>0.90614672835426302</v>
      </c>
      <c r="AY119" s="31">
        <v>0.8702388637830859</v>
      </c>
      <c r="AZ119" s="31">
        <v>0.86334196891191706</v>
      </c>
      <c r="BA119" s="31">
        <v>0.88242978445460485</v>
      </c>
      <c r="BB119" s="31">
        <v>0.8826869611192486</v>
      </c>
      <c r="BC119" s="31">
        <v>0.87532981530343013</v>
      </c>
      <c r="BD119" s="31">
        <v>0.9213483146067416</v>
      </c>
      <c r="BE119" s="31">
        <v>0.84826684107259642</v>
      </c>
      <c r="BF119" s="31">
        <v>0.84695879659908435</v>
      </c>
      <c r="BG119" s="31">
        <v>0.87236842105263157</v>
      </c>
      <c r="BH119" s="31">
        <v>0.90962288686605985</v>
      </c>
      <c r="BI119" s="31">
        <v>0.89166119500984897</v>
      </c>
      <c r="BJ119" s="31">
        <v>0.88079375293005602</v>
      </c>
      <c r="BK119" s="31">
        <v>0.73924380704041726</v>
      </c>
      <c r="BL119" s="31">
        <v>0.84565075212557228</v>
      </c>
      <c r="BM119" s="31">
        <v>0.71121251629726201</v>
      </c>
      <c r="BN119" s="31">
        <v>0.75423728813559321</v>
      </c>
      <c r="BO119" s="31">
        <v>0.80116580310880825</v>
      </c>
      <c r="BP119" s="31">
        <v>0.85292186474064347</v>
      </c>
      <c r="BQ119" s="31">
        <v>0.81233933161953731</v>
      </c>
      <c r="BR119" s="31">
        <v>0.78811019472397625</v>
      </c>
      <c r="BS119" s="31">
        <v>0.81033355134074558</v>
      </c>
      <c r="BT119" s="31">
        <v>0.76727509778357239</v>
      </c>
      <c r="BU119" s="31">
        <v>0.81752779594506209</v>
      </c>
      <c r="BV119" s="31">
        <v>0.84303466317854803</v>
      </c>
      <c r="BW119" s="31">
        <v>0.83767926988265973</v>
      </c>
      <c r="BX119" s="31">
        <v>0.80638852672750982</v>
      </c>
      <c r="BY119" s="31">
        <v>0.83944954128440363</v>
      </c>
      <c r="BZ119" s="31">
        <v>0.81738406373464301</v>
      </c>
      <c r="CA119" s="31">
        <v>0.82239382239382242</v>
      </c>
      <c r="CB119" s="31">
        <v>0.85676913015042511</v>
      </c>
      <c r="CC119" s="31">
        <v>0.8101347017318794</v>
      </c>
      <c r="CD119" s="31">
        <v>0.80692751763951254</v>
      </c>
      <c r="CE119" s="31">
        <v>0.82450542437779195</v>
      </c>
      <c r="CF119" s="31">
        <v>0.82980089916506106</v>
      </c>
      <c r="CG119" s="31">
        <v>0.82778489116517284</v>
      </c>
      <c r="CH119" s="31">
        <v>0.82547376951766638</v>
      </c>
      <c r="CI119" s="31">
        <v>0.84300791556728227</v>
      </c>
      <c r="CJ119" s="31">
        <v>0.85276872964169381</v>
      </c>
      <c r="CK119" s="31">
        <v>0.82133333333333336</v>
      </c>
      <c r="CL119" s="31">
        <v>0.8512064343163539</v>
      </c>
      <c r="CM119" s="31">
        <v>0.84477015323117921</v>
      </c>
      <c r="CN119" s="31">
        <v>0.85911784068466102</v>
      </c>
      <c r="CO119" s="31">
        <v>0.8666666666666667</v>
      </c>
      <c r="CP119" s="31">
        <v>0.84841015334873859</v>
      </c>
      <c r="CQ119" s="31">
        <v>0.86363636363636365</v>
      </c>
      <c r="CR119" s="31">
        <v>0.87701612903225812</v>
      </c>
      <c r="CS119" s="31">
        <v>0.82426229508196724</v>
      </c>
      <c r="CT119" s="31">
        <v>0.85704918032786881</v>
      </c>
      <c r="CU119" s="31">
        <v>0.87666666666666671</v>
      </c>
      <c r="CV119" s="31">
        <v>0.89793195463642428</v>
      </c>
      <c r="CW119" s="31">
        <v>0.88844086021505375</v>
      </c>
      <c r="CX119" s="31">
        <v>0.86928620708522897</v>
      </c>
      <c r="CY119" s="31">
        <v>0.85575679172056918</v>
      </c>
      <c r="CZ119" s="31">
        <v>0.89377049180327872</v>
      </c>
      <c r="DA119" s="31">
        <v>0.83204134366925064</v>
      </c>
      <c r="DB119" s="31">
        <v>0.84560723514211888</v>
      </c>
      <c r="DC119" s="31">
        <v>0.85106382978723405</v>
      </c>
      <c r="DD119" s="31">
        <v>0.87717041800643092</v>
      </c>
      <c r="DE119" s="31">
        <v>0.85907335907335902</v>
      </c>
      <c r="DF119" s="31">
        <v>0.85921192417174885</v>
      </c>
      <c r="DG119" s="31">
        <v>0.8379446640316206</v>
      </c>
      <c r="DH119" s="31">
        <v>0.87080103359173122</v>
      </c>
      <c r="DI119" s="31">
        <v>0.82864617396991502</v>
      </c>
      <c r="DJ119" s="31">
        <v>0.83584041857423153</v>
      </c>
      <c r="DK119" s="31">
        <v>0.85816993464052282</v>
      </c>
      <c r="DL119" s="31">
        <v>0.86925566343042071</v>
      </c>
      <c r="DM119" s="31">
        <v>0.86467143786597267</v>
      </c>
      <c r="DN119" s="31">
        <v>0.852189903729202</v>
      </c>
      <c r="DO119" s="31">
        <v>0.81491170699803794</v>
      </c>
      <c r="DP119" s="31">
        <v>0.82864617396991502</v>
      </c>
      <c r="DQ119" s="31">
        <v>0.8022193211488251</v>
      </c>
      <c r="DR119" s="31">
        <v>0.8133159268929504</v>
      </c>
      <c r="DS119" s="31">
        <v>0.81663392272429602</v>
      </c>
      <c r="DT119" s="31">
        <v>0.83817701453104354</v>
      </c>
      <c r="DU119" s="31">
        <v>0.8411764705882353</v>
      </c>
      <c r="DV119" s="31">
        <v>0.82215436240761464</v>
      </c>
      <c r="DW119" s="31">
        <v>0.80643044619422577</v>
      </c>
      <c r="DX119" s="31">
        <v>0.83877284595300261</v>
      </c>
      <c r="DY119" s="31">
        <v>0.79136690647482011</v>
      </c>
      <c r="DZ119" s="31">
        <v>0.81229561805101369</v>
      </c>
      <c r="EA119" s="31">
        <v>0.84007832898172319</v>
      </c>
      <c r="EB119" s="31">
        <v>0.84761281883584039</v>
      </c>
      <c r="EC119" s="31">
        <v>0.84272608125819137</v>
      </c>
      <c r="ED119" s="31">
        <v>0.82561186367840234</v>
      </c>
      <c r="EE119" s="31">
        <v>0.86046511627906974</v>
      </c>
      <c r="EF119" s="31">
        <v>0.84695879659908435</v>
      </c>
      <c r="EG119" s="31">
        <v>0.83843085106382975</v>
      </c>
      <c r="EH119" s="31">
        <v>0.83244680851063835</v>
      </c>
      <c r="EI119" s="31">
        <v>0.85466666666666669</v>
      </c>
      <c r="EJ119" s="31">
        <v>0.87159015302727882</v>
      </c>
      <c r="EK119" s="31">
        <v>0.85360962566844922</v>
      </c>
      <c r="EL119" s="31">
        <v>0.85116685968785954</v>
      </c>
    </row>
    <row r="120" spans="38:142" x14ac:dyDescent="0.35">
      <c r="AL120" s="19" t="s">
        <v>161</v>
      </c>
      <c r="AM120" s="31">
        <v>0.84193011647254579</v>
      </c>
      <c r="AN120" s="31">
        <v>0.87787610619469025</v>
      </c>
      <c r="AO120" s="31">
        <v>0.82890365448504988</v>
      </c>
      <c r="AP120" s="31">
        <v>0.85024958402662232</v>
      </c>
      <c r="AQ120" s="31">
        <v>0.85435168738898759</v>
      </c>
      <c r="AR120" s="31">
        <v>0.86795774647887325</v>
      </c>
      <c r="AS120" s="31">
        <v>0.8844765342960289</v>
      </c>
      <c r="AT120" s="31">
        <v>0.85796363276325682</v>
      </c>
      <c r="AU120" s="31">
        <v>0.91191709844559588</v>
      </c>
      <c r="AV120" s="31">
        <v>0.86623164763458405</v>
      </c>
      <c r="AW120" s="31">
        <v>0.84731543624161076</v>
      </c>
      <c r="AX120" s="31">
        <v>0.84098360655737703</v>
      </c>
      <c r="AY120" s="31">
        <v>0.90971039182282798</v>
      </c>
      <c r="AZ120" s="31">
        <v>0.89430894308943087</v>
      </c>
      <c r="BA120" s="31">
        <v>0.87251655629139069</v>
      </c>
      <c r="BB120" s="31">
        <v>0.87756909715468823</v>
      </c>
      <c r="BC120" s="31">
        <v>0.88632619439868199</v>
      </c>
      <c r="BD120" s="31">
        <v>0.86287625418060199</v>
      </c>
      <c r="BE120" s="31">
        <v>0.83683360258481421</v>
      </c>
      <c r="BF120" s="31">
        <v>0.82532051282051277</v>
      </c>
      <c r="BG120" s="31">
        <v>0.88118811881188119</v>
      </c>
      <c r="BH120" s="31">
        <v>0.87</v>
      </c>
      <c r="BI120" s="31">
        <v>0.84269662921348309</v>
      </c>
      <c r="BJ120" s="31">
        <v>0.85789161600142505</v>
      </c>
      <c r="BK120" s="31">
        <v>0.66608996539792387</v>
      </c>
      <c r="BL120" s="31">
        <v>0.85737439222042144</v>
      </c>
      <c r="BM120" s="31">
        <v>0.7102177554438861</v>
      </c>
      <c r="BN120" s="31">
        <v>0.75344827586206897</v>
      </c>
      <c r="BO120" s="31">
        <v>0.77312390924956365</v>
      </c>
      <c r="BP120" s="31">
        <v>0.84319999999999995</v>
      </c>
      <c r="BQ120" s="31">
        <v>0.80131362889983582</v>
      </c>
      <c r="BR120" s="31">
        <v>0.77210970386767142</v>
      </c>
      <c r="BS120" s="31">
        <v>0.77213114754098355</v>
      </c>
      <c r="BT120" s="31">
        <v>0.75533661740558289</v>
      </c>
      <c r="BU120" s="31">
        <v>0.81116584564860428</v>
      </c>
      <c r="BV120" s="31">
        <v>0.82450331125827814</v>
      </c>
      <c r="BW120" s="31">
        <v>0.81669394435351883</v>
      </c>
      <c r="BX120" s="31">
        <v>0.81239530988274711</v>
      </c>
      <c r="BY120" s="31">
        <v>0.81713344316309722</v>
      </c>
      <c r="BZ120" s="31">
        <v>0.80133708846468743</v>
      </c>
      <c r="CA120" s="31">
        <v>0.8186195826645265</v>
      </c>
      <c r="CB120" s="31">
        <v>0.87562189054726369</v>
      </c>
      <c r="CC120" s="31">
        <v>0.79006410256410253</v>
      </c>
      <c r="CD120" s="31">
        <v>0.8061389337641357</v>
      </c>
      <c r="CE120" s="31">
        <v>0.83577235772357727</v>
      </c>
      <c r="CF120" s="31">
        <v>0.86223662884927066</v>
      </c>
      <c r="CG120" s="31">
        <v>0.85668276972624802</v>
      </c>
      <c r="CH120" s="31">
        <v>0.83501946654844639</v>
      </c>
      <c r="CI120" s="31">
        <v>0.74439461883408076</v>
      </c>
      <c r="CJ120" s="31">
        <v>0.8612903225806452</v>
      </c>
      <c r="CK120" s="31">
        <v>0.73873873873873874</v>
      </c>
      <c r="CL120" s="31">
        <v>0.74362818590704649</v>
      </c>
      <c r="CM120" s="31">
        <v>0.83142389525368243</v>
      </c>
      <c r="CN120" s="31">
        <v>0.86341463414634145</v>
      </c>
      <c r="CO120" s="31">
        <v>0.86133768352365414</v>
      </c>
      <c r="CP120" s="31">
        <v>0.80631829699774138</v>
      </c>
      <c r="CQ120" s="31">
        <v>0.79939209726443772</v>
      </c>
      <c r="CR120" s="31">
        <v>0.75820895522388054</v>
      </c>
      <c r="CS120" s="31">
        <v>0.76399394856278369</v>
      </c>
      <c r="CT120" s="31">
        <v>0.78115501519756836</v>
      </c>
      <c r="CU120" s="31">
        <v>0.81212121212121213</v>
      </c>
      <c r="CV120" s="31">
        <v>0.81550387596899221</v>
      </c>
      <c r="CW120" s="31">
        <v>0.82949308755760365</v>
      </c>
      <c r="CX120" s="31">
        <v>0.79426688455663985</v>
      </c>
      <c r="CY120" s="31">
        <v>0.78742514970059885</v>
      </c>
      <c r="CZ120" s="31">
        <v>0.79393939393939394</v>
      </c>
      <c r="DA120" s="31">
        <v>0.76515151515151514</v>
      </c>
      <c r="DB120" s="31">
        <v>0.79362670713201822</v>
      </c>
      <c r="DC120" s="31">
        <v>0.81183611532625188</v>
      </c>
      <c r="DD120" s="31">
        <v>0.8100303951367781</v>
      </c>
      <c r="DE120" s="31">
        <v>0.81635802469135799</v>
      </c>
      <c r="DF120" s="31">
        <v>0.7969096144397021</v>
      </c>
      <c r="DG120" s="31">
        <v>0.78614457831325302</v>
      </c>
      <c r="DH120" s="31">
        <v>0.81024096385542166</v>
      </c>
      <c r="DI120" s="31">
        <v>0.73827534039334342</v>
      </c>
      <c r="DJ120" s="31">
        <v>0.77488514548238896</v>
      </c>
      <c r="DK120" s="31">
        <v>0.77694610778443118</v>
      </c>
      <c r="DL120" s="31">
        <v>0.81073025335320414</v>
      </c>
      <c r="DM120" s="31">
        <v>0.80359820089955025</v>
      </c>
      <c r="DN120" s="31">
        <v>0.78583151286879893</v>
      </c>
      <c r="DO120" s="31">
        <v>0.77538461538461534</v>
      </c>
      <c r="DP120" s="31">
        <v>0.78892215568862278</v>
      </c>
      <c r="DQ120" s="31">
        <v>0.72808320950965821</v>
      </c>
      <c r="DR120" s="31">
        <v>0.75430359937402192</v>
      </c>
      <c r="DS120" s="31">
        <v>0.7831325301204819</v>
      </c>
      <c r="DT120" s="31">
        <v>0.81052631578947365</v>
      </c>
      <c r="DU120" s="31">
        <v>0.79357798165137616</v>
      </c>
      <c r="DV120" s="31">
        <v>0.77627577250260704</v>
      </c>
      <c r="DW120" s="31">
        <v>0.76744186046511631</v>
      </c>
      <c r="DX120" s="31">
        <v>0.7809667673716012</v>
      </c>
      <c r="DY120" s="31">
        <v>0.76204819277108438</v>
      </c>
      <c r="DZ120" s="31">
        <v>0.7473997028231798</v>
      </c>
      <c r="EA120" s="31">
        <v>0.79878971255673226</v>
      </c>
      <c r="EB120" s="31">
        <v>0.8087349397590361</v>
      </c>
      <c r="EC120" s="31">
        <v>0.79129129129129128</v>
      </c>
      <c r="ED120" s="31">
        <v>0.77952463814829165</v>
      </c>
      <c r="EE120" s="31">
        <v>0.79086892488954341</v>
      </c>
      <c r="EF120" s="31">
        <v>0.79705882352941182</v>
      </c>
      <c r="EG120" s="31">
        <v>0.74747474747474751</v>
      </c>
      <c r="EH120" s="31">
        <v>0.80763582966226133</v>
      </c>
      <c r="EI120" s="31">
        <v>0.82912332838038638</v>
      </c>
      <c r="EJ120" s="31">
        <v>0.84101040118870729</v>
      </c>
      <c r="EK120" s="31">
        <v>0.85037037037037033</v>
      </c>
      <c r="EL120" s="31">
        <v>0.8090774893564896</v>
      </c>
    </row>
    <row r="121" spans="38:142" x14ac:dyDescent="0.35">
      <c r="AL121" s="19" t="s">
        <v>162</v>
      </c>
      <c r="AM121" s="31">
        <v>0.79313099041533541</v>
      </c>
      <c r="AN121" s="31">
        <v>0.88817891373801916</v>
      </c>
      <c r="AO121" s="31">
        <v>0.78035143769968052</v>
      </c>
      <c r="AP121" s="31">
        <v>0.78674121405750796</v>
      </c>
      <c r="AQ121" s="31">
        <v>0.79632587859424919</v>
      </c>
      <c r="AR121" s="31">
        <v>0.79552715654952078</v>
      </c>
      <c r="AS121" s="31">
        <v>0.8091054313099042</v>
      </c>
      <c r="AT121" s="31">
        <v>0.80705157462345956</v>
      </c>
      <c r="AU121" s="31">
        <v>0.84424920127795522</v>
      </c>
      <c r="AV121" s="31">
        <v>0.82268370607028751</v>
      </c>
      <c r="AW121" s="31">
        <v>0.8434504792332268</v>
      </c>
      <c r="AX121" s="31">
        <v>0.81389776357827481</v>
      </c>
      <c r="AY121" s="31">
        <v>0.84664536741214058</v>
      </c>
      <c r="AZ121" s="31">
        <v>0.85063897763578278</v>
      </c>
      <c r="BA121" s="31">
        <v>0.8346645367412141</v>
      </c>
      <c r="BB121" s="31">
        <v>0.83660429027841166</v>
      </c>
      <c r="BC121" s="31">
        <v>0.86980830670926512</v>
      </c>
      <c r="BD121" s="31">
        <v>0.81709265175718848</v>
      </c>
      <c r="BE121" s="31">
        <v>0.8346645367412141</v>
      </c>
      <c r="BF121" s="31">
        <v>0.83386581469648557</v>
      </c>
      <c r="BG121" s="31">
        <v>0.88019169329073488</v>
      </c>
      <c r="BH121" s="31">
        <v>0.84984025559105436</v>
      </c>
      <c r="BI121" s="31">
        <v>0.86102236421725242</v>
      </c>
      <c r="BJ121" s="31">
        <v>0.84949794614331364</v>
      </c>
      <c r="BK121" s="31">
        <v>0.66272655634357758</v>
      </c>
      <c r="BL121" s="31">
        <v>0.83945686900958472</v>
      </c>
      <c r="BM121" s="31">
        <v>0.70133963750985029</v>
      </c>
      <c r="BN121" s="31">
        <v>0.73522458628841603</v>
      </c>
      <c r="BO121" s="31">
        <v>0.75650118203309691</v>
      </c>
      <c r="BP121" s="31">
        <v>0.82907348242811496</v>
      </c>
      <c r="BQ121" s="31">
        <v>0.78014184397163122</v>
      </c>
      <c r="BR121" s="31">
        <v>0.75778059394061015</v>
      </c>
      <c r="BS121" s="31">
        <v>0.77462568951930655</v>
      </c>
      <c r="BT121" s="31">
        <v>0.75413711583924348</v>
      </c>
      <c r="BU121" s="31">
        <v>0.79590228526398743</v>
      </c>
      <c r="BV121" s="31">
        <v>0.793538219070134</v>
      </c>
      <c r="BW121" s="31">
        <v>0.80693459416863678</v>
      </c>
      <c r="BX121" s="31">
        <v>0.80693459416863678</v>
      </c>
      <c r="BY121" s="31">
        <v>0.81875492513790382</v>
      </c>
      <c r="BZ121" s="31">
        <v>0.79297534616683563</v>
      </c>
      <c r="CA121" s="31">
        <v>0.8321513002364066</v>
      </c>
      <c r="CB121" s="31">
        <v>0.81875492513790382</v>
      </c>
      <c r="CC121" s="31">
        <v>0.82505910165484631</v>
      </c>
      <c r="CD121" s="31">
        <v>0.81560283687943258</v>
      </c>
      <c r="CE121" s="31">
        <v>0.84948778565799843</v>
      </c>
      <c r="CF121" s="31">
        <v>0.86682427107959026</v>
      </c>
      <c r="CG121" s="31">
        <v>0.83136327817178879</v>
      </c>
      <c r="CH121" s="31">
        <v>0.83417764268828098</v>
      </c>
      <c r="CI121" s="31">
        <v>0.79117415287628057</v>
      </c>
      <c r="CJ121" s="31">
        <v>0.81087470449172572</v>
      </c>
      <c r="CK121" s="31">
        <v>0.76674546887312844</v>
      </c>
      <c r="CL121" s="31">
        <v>0.76832151300236406</v>
      </c>
      <c r="CM121" s="31">
        <v>0.79669030732860524</v>
      </c>
      <c r="CN121" s="31">
        <v>0.82033096926713944</v>
      </c>
      <c r="CO121" s="31">
        <v>0.78802206461780933</v>
      </c>
      <c r="CP121" s="31">
        <v>0.79173702577957894</v>
      </c>
      <c r="CQ121" s="31">
        <v>0.80640243902439024</v>
      </c>
      <c r="CR121" s="31">
        <v>0.78250591016548465</v>
      </c>
      <c r="CS121" s="31">
        <v>0.78429878048780488</v>
      </c>
      <c r="CT121" s="31">
        <v>0.78734756097560976</v>
      </c>
      <c r="CU121" s="31">
        <v>0.81935975609756095</v>
      </c>
      <c r="CV121" s="31">
        <v>0.82427107959022849</v>
      </c>
      <c r="CW121" s="31">
        <v>0.82348305752561068</v>
      </c>
      <c r="CX121" s="31">
        <v>0.80395265483809852</v>
      </c>
      <c r="CY121" s="31">
        <v>0.7964939024390244</v>
      </c>
      <c r="CZ121" s="31">
        <v>0.79344512195121952</v>
      </c>
      <c r="DA121" s="31">
        <v>0.79268292682926833</v>
      </c>
      <c r="DB121" s="31">
        <v>0.77286585365853655</v>
      </c>
      <c r="DC121" s="31">
        <v>0.79420731707317072</v>
      </c>
      <c r="DD121" s="31">
        <v>0.81326219512195119</v>
      </c>
      <c r="DE121" s="31">
        <v>0.80792682926829273</v>
      </c>
      <c r="DF121" s="31">
        <v>0.79584059233449467</v>
      </c>
      <c r="DG121" s="31">
        <v>0.79496951219512191</v>
      </c>
      <c r="DH121" s="31">
        <v>0.77515243902439024</v>
      </c>
      <c r="DI121" s="31">
        <v>0.79115853658536583</v>
      </c>
      <c r="DJ121" s="31">
        <v>0.80335365853658536</v>
      </c>
      <c r="DK121" s="31">
        <v>0.81326219512195119</v>
      </c>
      <c r="DL121" s="31">
        <v>0.8125</v>
      </c>
      <c r="DM121" s="31">
        <v>0.80564024390243905</v>
      </c>
      <c r="DN121" s="31">
        <v>0.79943379790940761</v>
      </c>
      <c r="DO121" s="31">
        <v>0.79344512195121952</v>
      </c>
      <c r="DP121" s="31">
        <v>0.80487804878048785</v>
      </c>
      <c r="DQ121" s="31">
        <v>0.7660060975609756</v>
      </c>
      <c r="DR121" s="31">
        <v>0.76067073170731703</v>
      </c>
      <c r="DS121" s="31">
        <v>0.82088414634146345</v>
      </c>
      <c r="DT121" s="31">
        <v>0.82621951219512191</v>
      </c>
      <c r="DU121" s="31">
        <v>0.82317073170731703</v>
      </c>
      <c r="DV121" s="31">
        <v>0.79932491289198604</v>
      </c>
      <c r="DW121" s="31">
        <v>0.81097560975609762</v>
      </c>
      <c r="DX121" s="31">
        <v>0.77057926829268297</v>
      </c>
      <c r="DY121" s="31">
        <v>0.7660060975609756</v>
      </c>
      <c r="DZ121" s="31">
        <v>0.77362804878048785</v>
      </c>
      <c r="EA121" s="31">
        <v>0.83536585365853655</v>
      </c>
      <c r="EB121" s="31">
        <v>0.81783536585365857</v>
      </c>
      <c r="EC121" s="31">
        <v>0.83307926829268297</v>
      </c>
      <c r="ED121" s="31">
        <v>0.80106707317073167</v>
      </c>
      <c r="EE121" s="31">
        <v>0.80335365853658536</v>
      </c>
      <c r="EF121" s="31">
        <v>0.79801829268292679</v>
      </c>
      <c r="EG121" s="31">
        <v>0.78277439024390238</v>
      </c>
      <c r="EH121" s="31">
        <v>0.76371951219512191</v>
      </c>
      <c r="EI121" s="31">
        <v>0.83155487804878048</v>
      </c>
      <c r="EJ121" s="31">
        <v>0.81631097560975607</v>
      </c>
      <c r="EK121" s="31">
        <v>0.83917682926829273</v>
      </c>
      <c r="EL121" s="31">
        <v>0.80498693379790942</v>
      </c>
    </row>
    <row r="122" spans="38:142" x14ac:dyDescent="0.35">
      <c r="AL122" s="19" t="s">
        <v>222</v>
      </c>
      <c r="AM122" s="31">
        <v>0.87257281553398058</v>
      </c>
      <c r="AN122" s="31">
        <v>0.83252427184466016</v>
      </c>
      <c r="AO122" s="31">
        <v>0.81829121540312877</v>
      </c>
      <c r="AP122" s="31">
        <v>0.81807228915662655</v>
      </c>
      <c r="AQ122" s="31">
        <v>0.85180722891566263</v>
      </c>
      <c r="AR122" s="31">
        <v>0.87742718446601942</v>
      </c>
      <c r="AS122" s="31">
        <v>0.8566265060240964</v>
      </c>
      <c r="AT122" s="31">
        <v>0.84676021590631056</v>
      </c>
      <c r="AU122" s="31">
        <v>0.90396158463385357</v>
      </c>
      <c r="AV122" s="31">
        <v>0.86202686202686207</v>
      </c>
      <c r="AW122" s="31">
        <v>0.89397590361445778</v>
      </c>
      <c r="AX122" s="31">
        <v>0.90886998784933171</v>
      </c>
      <c r="AY122" s="31">
        <v>0.91140776699029125</v>
      </c>
      <c r="AZ122" s="31">
        <v>0.89684466019417475</v>
      </c>
      <c r="BA122" s="31">
        <v>0.91019417475728159</v>
      </c>
      <c r="BB122" s="31">
        <v>0.89818299143803604</v>
      </c>
      <c r="BC122" s="31">
        <v>0.89737470167064437</v>
      </c>
      <c r="BD122" s="31">
        <v>0.91236494597839135</v>
      </c>
      <c r="BE122" s="31">
        <v>0.86363636363636365</v>
      </c>
      <c r="BF122" s="31">
        <v>0.84873949579831931</v>
      </c>
      <c r="BG122" s="31">
        <v>0.89479905437352247</v>
      </c>
      <c r="BH122" s="31">
        <v>0.92446043165467628</v>
      </c>
      <c r="BI122" s="31">
        <v>0.89964157706093195</v>
      </c>
      <c r="BJ122" s="31">
        <v>0.89157379573897833</v>
      </c>
      <c r="BK122" s="31">
        <v>0.69597069597069594</v>
      </c>
      <c r="BL122" s="31">
        <v>0.84560570071258911</v>
      </c>
      <c r="BM122" s="31">
        <v>0.6896969696969697</v>
      </c>
      <c r="BN122" s="31">
        <v>0.75544794188861986</v>
      </c>
      <c r="BO122" s="31">
        <v>0.81197604790419164</v>
      </c>
      <c r="BP122" s="31">
        <v>0.87857142857142856</v>
      </c>
      <c r="BQ122" s="31">
        <v>0.84743742550655543</v>
      </c>
      <c r="BR122" s="31">
        <v>0.78924374432157851</v>
      </c>
      <c r="BS122" s="31">
        <v>0.8552787663107948</v>
      </c>
      <c r="BT122" s="31">
        <v>0.80461165048543692</v>
      </c>
      <c r="BU122" s="31">
        <v>0.84733727810650883</v>
      </c>
      <c r="BV122" s="31">
        <v>0.87470449172576836</v>
      </c>
      <c r="BW122" s="31">
        <v>0.90203106332138594</v>
      </c>
      <c r="BX122" s="31">
        <v>0.85024154589371981</v>
      </c>
      <c r="BY122" s="31">
        <v>0.89712918660287078</v>
      </c>
      <c r="BZ122" s="31">
        <v>0.86161914034949783</v>
      </c>
      <c r="CA122" s="31">
        <v>0.89247311827956988</v>
      </c>
      <c r="CB122" s="31">
        <v>0.90082644628099173</v>
      </c>
      <c r="CC122" s="31">
        <v>0.90354090354090355</v>
      </c>
      <c r="CD122" s="31">
        <v>0.89693251533742335</v>
      </c>
      <c r="CE122" s="31">
        <v>0.91438763376932219</v>
      </c>
      <c r="CF122" s="31">
        <v>0.90995260663507105</v>
      </c>
      <c r="CG122" s="31">
        <v>0.89294117647058824</v>
      </c>
      <c r="CH122" s="31">
        <v>0.90157920004483849</v>
      </c>
      <c r="CI122" s="31">
        <v>0.88534278959810875</v>
      </c>
      <c r="CJ122" s="31">
        <v>0.9190535491905355</v>
      </c>
      <c r="CK122" s="31">
        <v>0.87409200968523004</v>
      </c>
      <c r="CL122" s="31">
        <v>0.87772397094430987</v>
      </c>
      <c r="CM122" s="31">
        <v>0.90568319226118499</v>
      </c>
      <c r="CN122" s="31">
        <v>0.91252955082742315</v>
      </c>
      <c r="CO122" s="31">
        <v>0.90941597139451724</v>
      </c>
      <c r="CP122" s="31">
        <v>0.89769157627161555</v>
      </c>
      <c r="CQ122" s="31">
        <v>0.88613861386138615</v>
      </c>
      <c r="CR122" s="31">
        <v>0.89555822328931578</v>
      </c>
      <c r="CS122" s="31">
        <v>0.90074441687344908</v>
      </c>
      <c r="CT122" s="31">
        <v>0.91022443890274318</v>
      </c>
      <c r="CU122" s="31">
        <v>0.8998778998778999</v>
      </c>
      <c r="CV122" s="31">
        <v>0.89341317365269457</v>
      </c>
      <c r="CW122" s="31">
        <v>0.87590361445783127</v>
      </c>
      <c r="CX122" s="31">
        <v>0.89455148298790288</v>
      </c>
      <c r="CY122" s="31">
        <v>0.87360594795539037</v>
      </c>
      <c r="CZ122" s="31">
        <v>0.8981366459627329</v>
      </c>
      <c r="DA122" s="31">
        <v>0.83333333333333337</v>
      </c>
      <c r="DB122" s="31">
        <v>0.85231539424280356</v>
      </c>
      <c r="DC122" s="31">
        <v>0.88228004956629491</v>
      </c>
      <c r="DD122" s="31">
        <v>0.91392405063291138</v>
      </c>
      <c r="DE122" s="31">
        <v>0.91443167305236273</v>
      </c>
      <c r="DF122" s="31">
        <v>0.88114672782083281</v>
      </c>
      <c r="DG122" s="31">
        <v>0.87948717948717947</v>
      </c>
      <c r="DH122" s="31">
        <v>0.8491271820448878</v>
      </c>
      <c r="DI122" s="31">
        <v>0.88167938931297707</v>
      </c>
      <c r="DJ122" s="31">
        <v>0.87851662404092068</v>
      </c>
      <c r="DK122" s="31">
        <v>0.88624999999999998</v>
      </c>
      <c r="DL122" s="31">
        <v>0.88778054862842892</v>
      </c>
      <c r="DM122" s="31">
        <v>0.88124999999999998</v>
      </c>
      <c r="DN122" s="31">
        <v>0.87772727478777046</v>
      </c>
      <c r="DO122" s="31">
        <v>0.87327478042659978</v>
      </c>
      <c r="DP122" s="31">
        <v>0.88655980271270041</v>
      </c>
      <c r="DQ122" s="31">
        <v>0.87231352718078381</v>
      </c>
      <c r="DR122" s="31">
        <v>0.85199004975124382</v>
      </c>
      <c r="DS122" s="31">
        <v>0.8901234567901235</v>
      </c>
      <c r="DT122" s="31">
        <v>0.84080188679245282</v>
      </c>
      <c r="DU122" s="31">
        <v>0.88806888068880685</v>
      </c>
      <c r="DV122" s="31">
        <v>0.87187605490610154</v>
      </c>
      <c r="DW122" s="31">
        <v>0.89880952380952384</v>
      </c>
      <c r="DX122" s="31">
        <v>0.88930348258706471</v>
      </c>
      <c r="DY122" s="31">
        <v>0.90311004784688997</v>
      </c>
      <c r="DZ122" s="31">
        <v>0.89448441247002397</v>
      </c>
      <c r="EA122" s="31">
        <v>0.90191387559808611</v>
      </c>
      <c r="EB122" s="31">
        <v>0.90121951219512197</v>
      </c>
      <c r="EC122" s="31">
        <v>0.89696969696969697</v>
      </c>
      <c r="ED122" s="31">
        <v>0.897972935925201</v>
      </c>
      <c r="EE122" s="31">
        <v>0.90550239234449759</v>
      </c>
      <c r="EF122" s="31">
        <v>0.92362768496420045</v>
      </c>
      <c r="EG122" s="31">
        <v>0.88072289156626504</v>
      </c>
      <c r="EH122" s="31">
        <v>0.87966305655836341</v>
      </c>
      <c r="EI122" s="31">
        <v>0.93140794223826717</v>
      </c>
      <c r="EJ122" s="31">
        <v>0.93173652694610776</v>
      </c>
      <c r="EK122" s="31">
        <v>0.93261131167268352</v>
      </c>
      <c r="EL122" s="31">
        <v>0.91218168661291199</v>
      </c>
    </row>
    <row r="123" spans="38:142" x14ac:dyDescent="0.35">
      <c r="AL123" s="19" t="s">
        <v>163</v>
      </c>
      <c r="AM123" s="31">
        <v>0.90163934426229508</v>
      </c>
      <c r="AN123" s="31">
        <v>0.94455852156057496</v>
      </c>
      <c r="AO123" s="31">
        <v>0.91407678244972579</v>
      </c>
      <c r="AP123" s="31">
        <v>0.9452054794520548</v>
      </c>
      <c r="AQ123" s="31">
        <v>0.86471663619744055</v>
      </c>
      <c r="AR123" s="31">
        <v>0.92515592515592515</v>
      </c>
      <c r="AS123" s="31">
        <v>0.92099792099792099</v>
      </c>
      <c r="AT123" s="31">
        <v>0.91662151572513395</v>
      </c>
      <c r="AU123" s="31">
        <v>0.89939637826961771</v>
      </c>
      <c r="AV123" s="31">
        <v>0.9452054794520548</v>
      </c>
      <c r="AW123" s="31">
        <v>0.89823874755381605</v>
      </c>
      <c r="AX123" s="31">
        <v>0.87020109689213898</v>
      </c>
      <c r="AY123" s="31">
        <v>0.90019569471624261</v>
      </c>
      <c r="AZ123" s="31">
        <v>0.92563600782778865</v>
      </c>
      <c r="BA123" s="31">
        <v>0.90019569471624261</v>
      </c>
      <c r="BB123" s="31">
        <v>0.90558129991827185</v>
      </c>
      <c r="BC123" s="31">
        <v>0.88482632541133455</v>
      </c>
      <c r="BD123" s="31">
        <v>0.87385740402193779</v>
      </c>
      <c r="BE123" s="31">
        <v>0.84644913627639151</v>
      </c>
      <c r="BF123" s="31">
        <v>0.87523992322456812</v>
      </c>
      <c r="BG123" s="31">
        <v>0.88411214953271033</v>
      </c>
      <c r="BH123" s="31">
        <v>0.87751371115173671</v>
      </c>
      <c r="BI123" s="31">
        <v>0.87102803738317758</v>
      </c>
      <c r="BJ123" s="31">
        <v>0.87328952671455096</v>
      </c>
      <c r="BK123" s="31">
        <v>0.79465776293823043</v>
      </c>
      <c r="BL123" s="31">
        <v>0.87907869481765832</v>
      </c>
      <c r="BM123" s="31">
        <v>0.69616026711185308</v>
      </c>
      <c r="BN123" s="31">
        <v>0.73121869782971616</v>
      </c>
      <c r="BO123" s="31">
        <v>0.79465776293823043</v>
      </c>
      <c r="BP123" s="31">
        <v>0.89463955637707948</v>
      </c>
      <c r="BQ123" s="31">
        <v>0.85765765765765767</v>
      </c>
      <c r="BR123" s="31">
        <v>0.80686719995291789</v>
      </c>
      <c r="BS123" s="31">
        <v>0.83771251931993818</v>
      </c>
      <c r="BT123" s="31">
        <v>0.80532445923460894</v>
      </c>
      <c r="BU123" s="31">
        <v>0.80813008130081299</v>
      </c>
      <c r="BV123" s="31">
        <v>0.81463414634146336</v>
      </c>
      <c r="BW123" s="31">
        <v>0.85805422647527907</v>
      </c>
      <c r="BX123" s="31">
        <v>0.81729200652528544</v>
      </c>
      <c r="BY123" s="31">
        <v>0.8408736349453978</v>
      </c>
      <c r="BZ123" s="31">
        <v>0.82600301059182646</v>
      </c>
      <c r="CA123" s="31">
        <v>0.84202211690363349</v>
      </c>
      <c r="CB123" s="31">
        <v>0.83098591549295775</v>
      </c>
      <c r="CC123" s="31">
        <v>0.80834621329211742</v>
      </c>
      <c r="CD123" s="31">
        <v>0.80152671755725191</v>
      </c>
      <c r="CE123" s="31">
        <v>0.82683307332293288</v>
      </c>
      <c r="CF123" s="31">
        <v>0.84350547730829417</v>
      </c>
      <c r="CG123" s="31">
        <v>0.84507042253521125</v>
      </c>
      <c r="CH123" s="31">
        <v>0.82832713377319978</v>
      </c>
      <c r="CI123" s="31">
        <v>0.82695252679938747</v>
      </c>
      <c r="CJ123" s="31">
        <v>0.82595419847328244</v>
      </c>
      <c r="CK123" s="31">
        <v>0.82496194824961944</v>
      </c>
      <c r="CL123" s="31">
        <v>0.81126331811263319</v>
      </c>
      <c r="CM123" s="31">
        <v>0.82695252679938747</v>
      </c>
      <c r="CN123" s="31">
        <v>0.83969465648854957</v>
      </c>
      <c r="CO123" s="31">
        <v>0.83981337480559881</v>
      </c>
      <c r="CP123" s="31">
        <v>0.82794179281835123</v>
      </c>
      <c r="CQ123" s="31">
        <v>0.81134969325153372</v>
      </c>
      <c r="CR123" s="31">
        <v>0.82952815829528159</v>
      </c>
      <c r="CS123" s="31">
        <v>0.79601226993865026</v>
      </c>
      <c r="CT123" s="31">
        <v>0.92331288343558282</v>
      </c>
      <c r="CU123" s="31">
        <v>0.82822085889570551</v>
      </c>
      <c r="CV123" s="31">
        <v>0.84031007751937981</v>
      </c>
      <c r="CW123" s="31">
        <v>0.82975460122699385</v>
      </c>
      <c r="CX123" s="31">
        <v>0.8369269346518754</v>
      </c>
      <c r="CY123" s="31">
        <v>0.7978395061728395</v>
      </c>
      <c r="CZ123" s="31">
        <v>0.86042944785276076</v>
      </c>
      <c r="DA123" s="31">
        <v>0.82578397212543553</v>
      </c>
      <c r="DB123" s="31">
        <v>0.8571428571428571</v>
      </c>
      <c r="DC123" s="31">
        <v>0.81901840490797551</v>
      </c>
      <c r="DD123" s="31">
        <v>0.82055214723926384</v>
      </c>
      <c r="DE123" s="31">
        <v>0.81901840490797551</v>
      </c>
      <c r="DF123" s="31">
        <v>0.82854067719272972</v>
      </c>
      <c r="DG123" s="31">
        <v>0.8971631205673759</v>
      </c>
      <c r="DH123" s="31">
        <v>0.89893617021276595</v>
      </c>
      <c r="DI123" s="31">
        <v>0.88120567375886527</v>
      </c>
      <c r="DJ123" s="31">
        <v>0.91489361702127658</v>
      </c>
      <c r="DK123" s="31">
        <v>0.8971631205673759</v>
      </c>
      <c r="DL123" s="31">
        <v>0.90248226950354615</v>
      </c>
      <c r="DM123" s="31">
        <v>0.87411347517730498</v>
      </c>
      <c r="DN123" s="31">
        <v>0.89513677811550152</v>
      </c>
      <c r="DO123" s="31">
        <v>0.90693430656934304</v>
      </c>
      <c r="DP123" s="31">
        <v>0.89184397163120566</v>
      </c>
      <c r="DQ123" s="31">
        <v>0.88086642599277976</v>
      </c>
      <c r="DR123" s="31">
        <v>0.88086642599277976</v>
      </c>
      <c r="DS123" s="31">
        <v>0.88321167883211682</v>
      </c>
      <c r="DT123" s="31">
        <v>0.87943262411347523</v>
      </c>
      <c r="DU123" s="31">
        <v>0.92730496453900713</v>
      </c>
      <c r="DV123" s="31">
        <v>0.8929229139529582</v>
      </c>
      <c r="DW123" s="31">
        <v>0.85766423357664234</v>
      </c>
      <c r="DX123" s="31">
        <v>0.85401459854014594</v>
      </c>
      <c r="DY123" s="31">
        <v>0.88686131386861311</v>
      </c>
      <c r="DZ123" s="31">
        <v>0.88138686131386856</v>
      </c>
      <c r="EA123" s="31">
        <v>0.87043795620437958</v>
      </c>
      <c r="EB123" s="31">
        <v>0.87773722627737227</v>
      </c>
      <c r="EC123" s="31">
        <v>0.87408759124087587</v>
      </c>
      <c r="ED123" s="31">
        <v>0.87174139728884259</v>
      </c>
      <c r="EE123" s="31">
        <v>0.90648854961832059</v>
      </c>
      <c r="EF123" s="31">
        <v>0.9427480916030534</v>
      </c>
      <c r="EG123" s="31">
        <v>0.89122137404580148</v>
      </c>
      <c r="EH123" s="31">
        <v>0.87977099236641221</v>
      </c>
      <c r="EI123" s="31">
        <v>0.9217557251908397</v>
      </c>
      <c r="EJ123" s="31">
        <v>0.93702290076335881</v>
      </c>
      <c r="EK123" s="31">
        <v>0.9217557251908397</v>
      </c>
      <c r="EL123" s="31">
        <v>0.91439476553980381</v>
      </c>
    </row>
    <row r="124" spans="38:142" x14ac:dyDescent="0.35">
      <c r="AL124" s="19" t="s">
        <v>434</v>
      </c>
      <c r="AM124" s="31">
        <v>0.89941972920696323</v>
      </c>
      <c r="AN124" s="31">
        <v>0.90019960079840322</v>
      </c>
      <c r="AO124" s="31">
        <v>0.87622789783889976</v>
      </c>
      <c r="AP124" s="31">
        <v>0.869140625</v>
      </c>
      <c r="AQ124" s="31">
        <v>0.91</v>
      </c>
      <c r="AR124" s="31">
        <v>0.90513833992094861</v>
      </c>
      <c r="AS124" s="31">
        <v>0.89484126984126988</v>
      </c>
      <c r="AT124" s="31">
        <v>0.89356678037235504</v>
      </c>
      <c r="AU124" s="31">
        <v>0.89566929133858264</v>
      </c>
      <c r="AV124" s="31">
        <v>0.88490566037735852</v>
      </c>
      <c r="AW124" s="31">
        <v>0.89591836734693875</v>
      </c>
      <c r="AX124" s="31">
        <v>0.86921529175050305</v>
      </c>
      <c r="AY124" s="31">
        <v>0.87984496124031009</v>
      </c>
      <c r="AZ124" s="31">
        <v>0.90267175572519087</v>
      </c>
      <c r="BA124" s="31">
        <v>0.91030534351145043</v>
      </c>
      <c r="BB124" s="31">
        <v>0.89121866732719057</v>
      </c>
      <c r="BC124" s="31">
        <v>0.88800000000000001</v>
      </c>
      <c r="BD124" s="31">
        <v>0.87671232876712324</v>
      </c>
      <c r="BE124" s="31">
        <v>0.89221556886227549</v>
      </c>
      <c r="BF124" s="31">
        <v>0.87174348697394788</v>
      </c>
      <c r="BG124" s="31">
        <v>0.88408644400785852</v>
      </c>
      <c r="BH124" s="31">
        <v>0.89043824701195218</v>
      </c>
      <c r="BI124" s="31">
        <v>0.89083820662768032</v>
      </c>
      <c r="BJ124" s="31">
        <v>0.88486204032154825</v>
      </c>
      <c r="BK124" s="31">
        <v>0.75619834710743805</v>
      </c>
      <c r="BL124" s="31">
        <v>0.87573964497041423</v>
      </c>
      <c r="BM124" s="31">
        <v>0.79791666666666672</v>
      </c>
      <c r="BN124" s="31">
        <v>0.82150101419878296</v>
      </c>
      <c r="BO124" s="31">
        <v>0.85232067510548526</v>
      </c>
      <c r="BP124" s="31">
        <v>0.87968441814595666</v>
      </c>
      <c r="BQ124" s="31">
        <v>0.90283400809716596</v>
      </c>
      <c r="BR124" s="31">
        <v>0.8408849677559872</v>
      </c>
      <c r="BS124" s="31">
        <v>0.87025948103792417</v>
      </c>
      <c r="BT124" s="31">
        <v>0.85996055226824453</v>
      </c>
      <c r="BU124" s="31">
        <v>0.89421157684630737</v>
      </c>
      <c r="BV124" s="31">
        <v>0.89272030651340994</v>
      </c>
      <c r="BW124" s="31">
        <v>0.88846153846153841</v>
      </c>
      <c r="BX124" s="31">
        <v>0.89827255278310936</v>
      </c>
      <c r="BY124" s="31">
        <v>0.91730769230769227</v>
      </c>
      <c r="BZ124" s="31">
        <v>0.88874195717403226</v>
      </c>
      <c r="CA124" s="31">
        <v>0.90384615384615385</v>
      </c>
      <c r="CB124" s="31">
        <v>0.9152542372881356</v>
      </c>
      <c r="CC124" s="31">
        <v>0.92322834645669294</v>
      </c>
      <c r="CD124" s="31">
        <v>0.89885496183206104</v>
      </c>
      <c r="CE124" s="31">
        <v>0.91295938104448737</v>
      </c>
      <c r="CF124" s="31">
        <v>0.92531876138433511</v>
      </c>
      <c r="CG124" s="31">
        <v>0.9087523277467412</v>
      </c>
      <c r="CH124" s="31">
        <v>0.91260202422837244</v>
      </c>
      <c r="CI124" s="31">
        <v>0.93283582089552242</v>
      </c>
      <c r="CJ124" s="31">
        <v>0.91586998087954108</v>
      </c>
      <c r="CK124" s="31">
        <v>0.89056603773584908</v>
      </c>
      <c r="CL124" s="31">
        <v>0.89333333333333331</v>
      </c>
      <c r="CM124" s="31">
        <v>0.8994413407821229</v>
      </c>
      <c r="CN124" s="31">
        <v>0.91938579654510555</v>
      </c>
      <c r="CO124" s="31">
        <v>0.93726235741444863</v>
      </c>
      <c r="CP124" s="31">
        <v>0.91267066679798892</v>
      </c>
      <c r="CQ124" s="31">
        <v>0.93248175182481752</v>
      </c>
      <c r="CR124" s="31">
        <v>0.93040293040293043</v>
      </c>
      <c r="CS124" s="31">
        <v>0.91891891891891897</v>
      </c>
      <c r="CT124" s="31">
        <v>0.92336448598130838</v>
      </c>
      <c r="CU124" s="31">
        <v>0.93806921675774135</v>
      </c>
      <c r="CV124" s="31">
        <v>0.94171220400728595</v>
      </c>
      <c r="CW124" s="31">
        <v>0.90740740740740744</v>
      </c>
      <c r="CX124" s="31">
        <v>0.92747955932863013</v>
      </c>
      <c r="CY124" s="31">
        <v>0.92992424242424243</v>
      </c>
      <c r="CZ124" s="31">
        <v>0.94515539305301643</v>
      </c>
      <c r="DA124" s="31">
        <v>0.92407407407407405</v>
      </c>
      <c r="DB124" s="31">
        <v>0.93577981651376152</v>
      </c>
      <c r="DC124" s="31">
        <v>0.92205323193916355</v>
      </c>
      <c r="DD124" s="31">
        <v>0.95036764705882348</v>
      </c>
      <c r="DE124" s="31">
        <v>0.94485294117647056</v>
      </c>
      <c r="DF124" s="31">
        <v>0.93602962089136454</v>
      </c>
      <c r="DG124" s="31">
        <v>0.89981096408317585</v>
      </c>
      <c r="DH124" s="31">
        <v>0.93594306049822062</v>
      </c>
      <c r="DI124" s="31">
        <v>0.89961389961389959</v>
      </c>
      <c r="DJ124" s="31">
        <v>0.88533834586466165</v>
      </c>
      <c r="DK124" s="31">
        <v>0.87126865671641796</v>
      </c>
      <c r="DL124" s="31">
        <v>0.93382352941176472</v>
      </c>
      <c r="DM124" s="31">
        <v>0.8613678373382625</v>
      </c>
      <c r="DN124" s="31">
        <v>0.89816661336091463</v>
      </c>
      <c r="DO124" s="31">
        <v>0.90960451977401124</v>
      </c>
      <c r="DP124" s="31">
        <v>0.87709497206703912</v>
      </c>
      <c r="DQ124" s="31">
        <v>0.88380952380952382</v>
      </c>
      <c r="DR124" s="31">
        <v>0.8901303538175046</v>
      </c>
      <c r="DS124" s="31">
        <v>0.87238095238095237</v>
      </c>
      <c r="DT124" s="31">
        <v>0.90558766859344897</v>
      </c>
      <c r="DU124" s="31">
        <v>0.89525691699604748</v>
      </c>
      <c r="DV124" s="31">
        <v>0.89055212963407548</v>
      </c>
      <c r="DW124" s="31">
        <v>0.91712707182320441</v>
      </c>
      <c r="DX124" s="31">
        <v>0.88497217068645639</v>
      </c>
      <c r="DY124" s="31">
        <v>0.87037037037037035</v>
      </c>
      <c r="DZ124" s="31">
        <v>0.88686131386861311</v>
      </c>
      <c r="EA124" s="31">
        <v>0.89945155393053011</v>
      </c>
      <c r="EB124" s="31">
        <v>0.89885496183206104</v>
      </c>
      <c r="EC124" s="31">
        <v>0.90659340659340659</v>
      </c>
      <c r="ED124" s="31">
        <v>0.89489012130066314</v>
      </c>
      <c r="EE124" s="31">
        <v>0.89056603773584908</v>
      </c>
      <c r="EF124" s="31">
        <v>0.92014519056261346</v>
      </c>
      <c r="EG124" s="31">
        <v>0.8801571709233792</v>
      </c>
      <c r="EH124" s="31">
        <v>0.86692015209125473</v>
      </c>
      <c r="EI124" s="31">
        <v>0.90280373831775695</v>
      </c>
      <c r="EJ124" s="31">
        <v>0.90054249547920429</v>
      </c>
      <c r="EK124" s="31">
        <v>0.93895870736086173</v>
      </c>
      <c r="EL124" s="31">
        <v>0.90001335606727406</v>
      </c>
    </row>
    <row r="125" spans="38:142" x14ac:dyDescent="0.35">
      <c r="AL125" s="19" t="s">
        <v>164</v>
      </c>
      <c r="AM125" s="31">
        <v>0.84908536585365857</v>
      </c>
      <c r="AN125" s="31">
        <v>0.88079470198675491</v>
      </c>
      <c r="AO125" s="31">
        <v>0.8528</v>
      </c>
      <c r="AP125" s="31">
        <v>0.82410423452768733</v>
      </c>
      <c r="AQ125" s="31">
        <v>0.87107438016528926</v>
      </c>
      <c r="AR125" s="31">
        <v>0.8769968051118211</v>
      </c>
      <c r="AS125" s="31">
        <v>0.85667752442996747</v>
      </c>
      <c r="AT125" s="31">
        <v>0.85879043029645408</v>
      </c>
      <c r="AU125" s="31">
        <v>0.87658227848101267</v>
      </c>
      <c r="AV125" s="31">
        <v>0.85973597359735976</v>
      </c>
      <c r="AW125" s="31">
        <v>0.86</v>
      </c>
      <c r="AX125" s="31">
        <v>0.89257503949447081</v>
      </c>
      <c r="AY125" s="31">
        <v>0.8987138263665595</v>
      </c>
      <c r="AZ125" s="31">
        <v>0.89481707317073167</v>
      </c>
      <c r="BA125" s="31">
        <v>0.93225806451612903</v>
      </c>
      <c r="BB125" s="31">
        <v>0.88781175080375196</v>
      </c>
      <c r="BC125" s="31">
        <v>0.89586776859504136</v>
      </c>
      <c r="BD125" s="31">
        <v>0.89262820512820518</v>
      </c>
      <c r="BE125" s="31">
        <v>0.88688524590163931</v>
      </c>
      <c r="BF125" s="31">
        <v>0.8892455858747994</v>
      </c>
      <c r="BG125" s="31">
        <v>0.8612903225806452</v>
      </c>
      <c r="BH125" s="31">
        <v>0.89150943396226412</v>
      </c>
      <c r="BI125" s="31">
        <v>0.84885496183206111</v>
      </c>
      <c r="BJ125" s="31">
        <v>0.88089736055352219</v>
      </c>
      <c r="BK125" s="31">
        <v>0.87687188019966722</v>
      </c>
      <c r="BL125" s="31">
        <v>0.93365695792880254</v>
      </c>
      <c r="BM125" s="31">
        <v>0.89661016949152539</v>
      </c>
      <c r="BN125" s="31">
        <v>0.89456342668863265</v>
      </c>
      <c r="BO125" s="31">
        <v>0.9205834683954619</v>
      </c>
      <c r="BP125" s="31">
        <v>0.9052969502407705</v>
      </c>
      <c r="BQ125" s="31">
        <v>0.92515923566878977</v>
      </c>
      <c r="BR125" s="31">
        <v>0.9075345840876643</v>
      </c>
      <c r="BS125" s="31">
        <v>0.93862275449101795</v>
      </c>
      <c r="BT125" s="31">
        <v>0.90791599353796448</v>
      </c>
      <c r="BU125" s="31">
        <v>0.92546583850931674</v>
      </c>
      <c r="BV125" s="31">
        <v>0.93061840120663653</v>
      </c>
      <c r="BW125" s="31">
        <v>0.92546583850931674</v>
      </c>
      <c r="BX125" s="31">
        <v>0.9441087613293051</v>
      </c>
      <c r="BY125" s="31">
        <v>0.92758089368258856</v>
      </c>
      <c r="BZ125" s="31">
        <v>0.92853978303802098</v>
      </c>
      <c r="CA125" s="31">
        <v>0.91131498470948014</v>
      </c>
      <c r="CB125" s="31">
        <v>0.94427710843373491</v>
      </c>
      <c r="CC125" s="31">
        <v>0.91269841269841268</v>
      </c>
      <c r="CD125" s="31">
        <v>0.8838304552590267</v>
      </c>
      <c r="CE125" s="31">
        <v>0.89939024390243905</v>
      </c>
      <c r="CF125" s="31">
        <v>0.94285714285714284</v>
      </c>
      <c r="CG125" s="31">
        <v>0.93082706766917289</v>
      </c>
      <c r="CH125" s="31">
        <v>0.91788505936134424</v>
      </c>
      <c r="CI125" s="31">
        <v>0.88309636650868883</v>
      </c>
      <c r="CJ125" s="31">
        <v>0.92259083728278046</v>
      </c>
      <c r="CK125" s="31">
        <v>0.81428571428571428</v>
      </c>
      <c r="CL125" s="31">
        <v>0.84126984126984128</v>
      </c>
      <c r="CM125" s="31">
        <v>0.87777777777777777</v>
      </c>
      <c r="CN125" s="31">
        <v>0.90595611285266453</v>
      </c>
      <c r="CO125" s="31">
        <v>0.88667687595712097</v>
      </c>
      <c r="CP125" s="31">
        <v>0.87595050370494121</v>
      </c>
      <c r="CQ125" s="31">
        <v>0.88548387096774195</v>
      </c>
      <c r="CR125" s="31">
        <v>0.8564516129032258</v>
      </c>
      <c r="CS125" s="31">
        <v>0.90720000000000001</v>
      </c>
      <c r="CT125" s="31">
        <v>0.8817034700315457</v>
      </c>
      <c r="CU125" s="31">
        <v>0.879746835443038</v>
      </c>
      <c r="CV125" s="31">
        <v>0.88273615635179148</v>
      </c>
      <c r="CW125" s="31">
        <v>0.89638932496075352</v>
      </c>
      <c r="CX125" s="31">
        <v>0.884244467236871</v>
      </c>
      <c r="CY125" s="31">
        <v>0.88589540412044376</v>
      </c>
      <c r="CZ125" s="31">
        <v>0.89731437598736175</v>
      </c>
      <c r="DA125" s="31">
        <v>0.86949685534591192</v>
      </c>
      <c r="DB125" s="31">
        <v>0.87049180327868847</v>
      </c>
      <c r="DC125" s="31">
        <v>0.89507154213036566</v>
      </c>
      <c r="DD125" s="31">
        <v>0.91900826446280992</v>
      </c>
      <c r="DE125" s="31">
        <v>0.87697160883280756</v>
      </c>
      <c r="DF125" s="31">
        <v>0.88774997916548415</v>
      </c>
      <c r="DG125" s="31">
        <v>0.87583892617449666</v>
      </c>
      <c r="DH125" s="31">
        <v>0.89315525876460766</v>
      </c>
      <c r="DI125" s="31">
        <v>0.85254237288135593</v>
      </c>
      <c r="DJ125" s="31">
        <v>0.84150326797385622</v>
      </c>
      <c r="DK125" s="31">
        <v>0.86709886547811998</v>
      </c>
      <c r="DL125" s="31">
        <v>0.84868421052631582</v>
      </c>
      <c r="DM125" s="31">
        <v>0.87479674796747964</v>
      </c>
      <c r="DN125" s="31">
        <v>0.86480280710946178</v>
      </c>
      <c r="DO125" s="31">
        <v>0.78378378378378377</v>
      </c>
      <c r="DP125" s="31">
        <v>0.85337726523887969</v>
      </c>
      <c r="DQ125" s="31">
        <v>0.79270315091210619</v>
      </c>
      <c r="DR125" s="31">
        <v>0.755</v>
      </c>
      <c r="DS125" s="31">
        <v>0.81438127090301005</v>
      </c>
      <c r="DT125" s="31">
        <v>0.86842105263157898</v>
      </c>
      <c r="DU125" s="31">
        <v>0.88225255972696248</v>
      </c>
      <c r="DV125" s="31">
        <v>0.82141701188518879</v>
      </c>
      <c r="DW125" s="31">
        <v>0.81958762886597936</v>
      </c>
      <c r="DX125" s="31">
        <v>0.73534338358458962</v>
      </c>
      <c r="DY125" s="31">
        <v>0.87945670628183359</v>
      </c>
      <c r="DZ125" s="31">
        <v>0.85427135678391963</v>
      </c>
      <c r="EA125" s="31">
        <v>0.80612244897959184</v>
      </c>
      <c r="EB125" s="31">
        <v>0.79431438127090304</v>
      </c>
      <c r="EC125" s="31">
        <v>0.78680203045685282</v>
      </c>
      <c r="ED125" s="31">
        <v>0.81084256231766705</v>
      </c>
      <c r="EE125" s="31">
        <v>0.86820428336079081</v>
      </c>
      <c r="EF125" s="31">
        <v>0.89072847682119205</v>
      </c>
      <c r="EG125" s="31">
        <v>0.83103448275862069</v>
      </c>
      <c r="EH125" s="31">
        <v>0.83557046979865768</v>
      </c>
      <c r="EI125" s="31">
        <v>0.8547854785478548</v>
      </c>
      <c r="EJ125" s="31">
        <v>0.90404040404040409</v>
      </c>
      <c r="EK125" s="31">
        <v>0.85666666666666669</v>
      </c>
      <c r="EL125" s="31">
        <v>0.86300432314202646</v>
      </c>
    </row>
    <row r="126" spans="38:142" x14ac:dyDescent="0.35">
      <c r="AL126" s="19" t="s">
        <v>165</v>
      </c>
      <c r="AM126" s="31">
        <v>0.82750000000000001</v>
      </c>
      <c r="AN126" s="31">
        <v>0.80193236714975846</v>
      </c>
      <c r="AO126" s="31">
        <v>0.85536159600997508</v>
      </c>
      <c r="AP126" s="31">
        <v>0.80195599022004893</v>
      </c>
      <c r="AQ126" s="31">
        <v>0.77777777777777779</v>
      </c>
      <c r="AR126" s="31">
        <v>0.83777239709443097</v>
      </c>
      <c r="AS126" s="31">
        <v>0.81975308641975309</v>
      </c>
      <c r="AT126" s="31">
        <v>0.8174361735245349</v>
      </c>
      <c r="AU126" s="31">
        <v>0.89223057644110271</v>
      </c>
      <c r="AV126" s="31">
        <v>0.81995133819951338</v>
      </c>
      <c r="AW126" s="31">
        <v>0.84222737819025517</v>
      </c>
      <c r="AX126" s="31">
        <v>0.83789954337899542</v>
      </c>
      <c r="AY126" s="31">
        <v>0.88669950738916259</v>
      </c>
      <c r="AZ126" s="31">
        <v>0.84009546539379476</v>
      </c>
      <c r="BA126" s="31">
        <v>0.85507246376811596</v>
      </c>
      <c r="BB126" s="31">
        <v>0.85345375325156281</v>
      </c>
      <c r="BC126" s="31">
        <v>0.8616071428571429</v>
      </c>
      <c r="BD126" s="31">
        <v>0.88683602771362591</v>
      </c>
      <c r="BE126" s="31">
        <v>0.82599118942731276</v>
      </c>
      <c r="BF126" s="31">
        <v>0.82696629213483142</v>
      </c>
      <c r="BG126" s="31">
        <v>0.85617977528089884</v>
      </c>
      <c r="BH126" s="31">
        <v>0.86818181818181817</v>
      </c>
      <c r="BI126" s="31">
        <v>0.86292134831460676</v>
      </c>
      <c r="BJ126" s="31">
        <v>0.85552622770146247</v>
      </c>
      <c r="BK126" s="31">
        <v>0.7443037974683544</v>
      </c>
      <c r="BL126" s="31">
        <v>0.82819383259911894</v>
      </c>
      <c r="BM126" s="31">
        <v>0.74177215189873413</v>
      </c>
      <c r="BN126" s="31">
        <v>0.79081632653061229</v>
      </c>
      <c r="BO126" s="31">
        <v>0.73348017621145378</v>
      </c>
      <c r="BP126" s="31">
        <v>0.80573951434878588</v>
      </c>
      <c r="BQ126" s="31">
        <v>0.7505518763796909</v>
      </c>
      <c r="BR126" s="31">
        <v>0.77069395363382143</v>
      </c>
      <c r="BS126" s="31">
        <v>0.81627906976744191</v>
      </c>
      <c r="BT126" s="31">
        <v>0.77197149643705465</v>
      </c>
      <c r="BU126" s="31">
        <v>0.82339449541284404</v>
      </c>
      <c r="BV126" s="31">
        <v>0.85648148148148151</v>
      </c>
      <c r="BW126" s="31">
        <v>0.830952380952381</v>
      </c>
      <c r="BX126" s="31">
        <v>0.82284382284382285</v>
      </c>
      <c r="BY126" s="31">
        <v>0.83990719257540603</v>
      </c>
      <c r="BZ126" s="31">
        <v>0.8231185627814902</v>
      </c>
      <c r="CA126" s="31">
        <v>0.84389140271493213</v>
      </c>
      <c r="CB126" s="31">
        <v>0.89461883408071752</v>
      </c>
      <c r="CC126" s="31">
        <v>0.84807256235827666</v>
      </c>
      <c r="CD126" s="31">
        <v>0.83521444695259595</v>
      </c>
      <c r="CE126" s="31">
        <v>0.82997762863534674</v>
      </c>
      <c r="CF126" s="31">
        <v>0.89639639639639634</v>
      </c>
      <c r="CG126" s="31">
        <v>0.8459821428571429</v>
      </c>
      <c r="CH126" s="31">
        <v>0.85630763057077264</v>
      </c>
      <c r="CI126" s="31">
        <v>0.82705099778270508</v>
      </c>
      <c r="CJ126" s="31">
        <v>0.86455981941309257</v>
      </c>
      <c r="CK126" s="31">
        <v>0.79333333333333333</v>
      </c>
      <c r="CL126" s="31">
        <v>0.81069042316258355</v>
      </c>
      <c r="CM126" s="31">
        <v>0.79955456570155903</v>
      </c>
      <c r="CN126" s="31">
        <v>0.83043478260869563</v>
      </c>
      <c r="CO126" s="31">
        <v>0.80567685589519655</v>
      </c>
      <c r="CP126" s="31">
        <v>0.8187572539853093</v>
      </c>
      <c r="CQ126" s="31">
        <v>0.80498866213151932</v>
      </c>
      <c r="CR126" s="31">
        <v>0.79424778761061943</v>
      </c>
      <c r="CS126" s="31">
        <v>0.85321100917431192</v>
      </c>
      <c r="CT126" s="31">
        <v>0.84862385321100919</v>
      </c>
      <c r="CU126" s="31">
        <v>0.83333333333333337</v>
      </c>
      <c r="CV126" s="31">
        <v>0.79867256637168138</v>
      </c>
      <c r="CW126" s="31">
        <v>0.78125</v>
      </c>
      <c r="CX126" s="31">
        <v>0.81633245883321071</v>
      </c>
      <c r="CY126" s="31">
        <v>0.78935185185185186</v>
      </c>
      <c r="CZ126" s="31">
        <v>0.85483870967741937</v>
      </c>
      <c r="DA126" s="31">
        <v>0.77419354838709675</v>
      </c>
      <c r="DB126" s="31">
        <v>0.75688073394495414</v>
      </c>
      <c r="DC126" s="31">
        <v>0.79156908665105385</v>
      </c>
      <c r="DD126" s="31">
        <v>0.83840749414519911</v>
      </c>
      <c r="DE126" s="31">
        <v>0.82476635514018692</v>
      </c>
      <c r="DF126" s="31">
        <v>0.80428682568539467</v>
      </c>
      <c r="DG126" s="31">
        <v>0.75175644028103039</v>
      </c>
      <c r="DH126" s="31">
        <v>0.76887871853546907</v>
      </c>
      <c r="DI126" s="31">
        <v>0.71728971962616828</v>
      </c>
      <c r="DJ126" s="31">
        <v>0.69859813084112155</v>
      </c>
      <c r="DK126" s="31">
        <v>0.72413793103448276</v>
      </c>
      <c r="DL126" s="31">
        <v>0.75854214123006836</v>
      </c>
      <c r="DM126" s="31">
        <v>0.74772727272727268</v>
      </c>
      <c r="DN126" s="31">
        <v>0.73813290775365914</v>
      </c>
      <c r="DO126" s="31">
        <v>0.75421686746987948</v>
      </c>
      <c r="DP126" s="31">
        <v>0.71728971962616828</v>
      </c>
      <c r="DQ126" s="31">
        <v>0.73849878934624702</v>
      </c>
      <c r="DR126" s="31">
        <v>0.73607748184019373</v>
      </c>
      <c r="DS126" s="31">
        <v>0.73239436619718312</v>
      </c>
      <c r="DT126" s="31">
        <v>0.74407582938388628</v>
      </c>
      <c r="DU126" s="31">
        <v>0.744131455399061</v>
      </c>
      <c r="DV126" s="31">
        <v>0.73809778703751705</v>
      </c>
      <c r="DW126" s="31">
        <v>0.75903614457831325</v>
      </c>
      <c r="DX126" s="31">
        <v>0.75669099756690994</v>
      </c>
      <c r="DY126" s="31">
        <v>0.72704714640198509</v>
      </c>
      <c r="DZ126" s="31">
        <v>0.77777777777777779</v>
      </c>
      <c r="EA126" s="31">
        <v>0.76029055690072644</v>
      </c>
      <c r="EB126" s="31">
        <v>0.77427184466019416</v>
      </c>
      <c r="EC126" s="31">
        <v>0.77777777777777779</v>
      </c>
      <c r="ED126" s="31">
        <v>0.76184174938052629</v>
      </c>
      <c r="EE126" s="31">
        <v>0.80740740740740746</v>
      </c>
      <c r="EF126" s="31">
        <v>0.81930693069306926</v>
      </c>
      <c r="EG126" s="31">
        <v>0.8328840970350404</v>
      </c>
      <c r="EH126" s="31">
        <v>0.83064516129032262</v>
      </c>
      <c r="EI126" s="31">
        <v>0.77339901477832518</v>
      </c>
      <c r="EJ126" s="31">
        <v>0.79361179361179357</v>
      </c>
      <c r="EK126" s="31">
        <v>0.78624078624078619</v>
      </c>
      <c r="EL126" s="31">
        <v>0.80621359872239207</v>
      </c>
    </row>
    <row r="127" spans="38:142" x14ac:dyDescent="0.35">
      <c r="AL127" s="19" t="s">
        <v>166</v>
      </c>
      <c r="AM127" s="31">
        <v>0.83098591549295775</v>
      </c>
      <c r="AN127" s="31">
        <v>0.85981308411214952</v>
      </c>
      <c r="AO127" s="31">
        <v>0.82634730538922152</v>
      </c>
      <c r="AP127" s="31">
        <v>0.83777520278099649</v>
      </c>
      <c r="AQ127" s="31">
        <v>0.8630751964085297</v>
      </c>
      <c r="AR127" s="31">
        <v>0.87616822429906538</v>
      </c>
      <c r="AS127" s="31">
        <v>0.88181818181818183</v>
      </c>
      <c r="AT127" s="31">
        <v>0.85371187290015749</v>
      </c>
      <c r="AU127" s="31">
        <v>0.88633754305396095</v>
      </c>
      <c r="AV127" s="31">
        <v>0.87134502923976609</v>
      </c>
      <c r="AW127" s="31">
        <v>0.88528389339513325</v>
      </c>
      <c r="AX127" s="31">
        <v>0.90559440559440563</v>
      </c>
      <c r="AY127" s="31">
        <v>0.89737742303306722</v>
      </c>
      <c r="AZ127" s="31">
        <v>0.89655172413793105</v>
      </c>
      <c r="BA127" s="31">
        <v>0.89306029579067125</v>
      </c>
      <c r="BB127" s="31">
        <v>0.89079290203499084</v>
      </c>
      <c r="BC127" s="31">
        <v>0.89239766081871341</v>
      </c>
      <c r="BD127" s="31">
        <v>0.89509692132269103</v>
      </c>
      <c r="BE127" s="31">
        <v>0.90011750881316099</v>
      </c>
      <c r="BF127" s="31">
        <v>0.89232531500572743</v>
      </c>
      <c r="BG127" s="31">
        <v>0.9173363949483353</v>
      </c>
      <c r="BH127" s="31">
        <v>0.91885714285714282</v>
      </c>
      <c r="BI127" s="31">
        <v>0.90459770114942528</v>
      </c>
      <c r="BJ127" s="31">
        <v>0.90296123498788528</v>
      </c>
      <c r="BK127" s="31">
        <v>0.7277289836888331</v>
      </c>
      <c r="BL127" s="31">
        <v>0.90218642117376291</v>
      </c>
      <c r="BM127" s="31">
        <v>0.76548089591567847</v>
      </c>
      <c r="BN127" s="31">
        <v>0.80764331210191087</v>
      </c>
      <c r="BO127" s="31">
        <v>0.79171741778319127</v>
      </c>
      <c r="BP127" s="31">
        <v>0.87672811059907829</v>
      </c>
      <c r="BQ127" s="31">
        <v>0.84125144843568944</v>
      </c>
      <c r="BR127" s="31">
        <v>0.81610522709973499</v>
      </c>
      <c r="BS127" s="31">
        <v>0.81695331695331697</v>
      </c>
      <c r="BT127" s="31">
        <v>0.87708066581306021</v>
      </c>
      <c r="BU127" s="31">
        <v>0.87347931873479323</v>
      </c>
      <c r="BV127" s="31">
        <v>0.86650185414091474</v>
      </c>
      <c r="BW127" s="31">
        <v>0.86341463414634145</v>
      </c>
      <c r="BX127" s="31">
        <v>0.90691823899371071</v>
      </c>
      <c r="BY127" s="31">
        <v>0.87935323383084574</v>
      </c>
      <c r="BZ127" s="31">
        <v>0.86910018037328318</v>
      </c>
      <c r="CA127" s="31">
        <v>0.80805687203791465</v>
      </c>
      <c r="CB127" s="31">
        <v>0.89101796407185629</v>
      </c>
      <c r="CC127" s="31">
        <v>0.83995327102803741</v>
      </c>
      <c r="CD127" s="31">
        <v>0.86412395709177592</v>
      </c>
      <c r="CE127" s="31">
        <v>0.88625592417061616</v>
      </c>
      <c r="CF127" s="31">
        <v>0.8666666666666667</v>
      </c>
      <c r="CG127" s="31">
        <v>0.89630512514898686</v>
      </c>
      <c r="CH127" s="31">
        <v>0.86462568288797903</v>
      </c>
      <c r="CI127" s="31">
        <v>0.87058823529411766</v>
      </c>
      <c r="CJ127" s="31">
        <v>0.87514863258026154</v>
      </c>
      <c r="CK127" s="31">
        <v>0.86127167630057799</v>
      </c>
      <c r="CL127" s="31">
        <v>0.87006960556844548</v>
      </c>
      <c r="CM127" s="31">
        <v>0.91469194312796209</v>
      </c>
      <c r="CN127" s="31">
        <v>0.91527446300715987</v>
      </c>
      <c r="CO127" s="31">
        <v>0.90504103165298944</v>
      </c>
      <c r="CP127" s="31">
        <v>0.88744079821878763</v>
      </c>
      <c r="CQ127" s="31">
        <v>0.841324200913242</v>
      </c>
      <c r="CR127" s="31">
        <v>0.88954171562867212</v>
      </c>
      <c r="CS127" s="31">
        <v>0.87542857142857144</v>
      </c>
      <c r="CT127" s="31">
        <v>0.8835063437139562</v>
      </c>
      <c r="CU127" s="31">
        <v>0.86674259681093391</v>
      </c>
      <c r="CV127" s="31">
        <v>0.90261282660332542</v>
      </c>
      <c r="CW127" s="31">
        <v>0.88808664259927794</v>
      </c>
      <c r="CX127" s="31">
        <v>0.8781775568139969</v>
      </c>
      <c r="CY127" s="31">
        <v>0.91882352941176471</v>
      </c>
      <c r="CZ127" s="31">
        <v>0.92575406032482599</v>
      </c>
      <c r="DA127" s="31">
        <v>0.88208092485549128</v>
      </c>
      <c r="DB127" s="31">
        <v>0.91294117647058826</v>
      </c>
      <c r="DC127" s="31">
        <v>0.86065573770491799</v>
      </c>
      <c r="DD127" s="31">
        <v>0.91173054587688729</v>
      </c>
      <c r="DE127" s="31">
        <v>0.90803259604190922</v>
      </c>
      <c r="DF127" s="31">
        <v>0.90285979581234077</v>
      </c>
      <c r="DG127" s="31">
        <v>0.88174512055109067</v>
      </c>
      <c r="DH127" s="31">
        <v>0.92018244013683015</v>
      </c>
      <c r="DI127" s="31">
        <v>0.88174512055109067</v>
      </c>
      <c r="DJ127" s="31">
        <v>0.85440180586907444</v>
      </c>
      <c r="DK127" s="31">
        <v>0.88235294117647056</v>
      </c>
      <c r="DL127" s="31">
        <v>0.92622020431328034</v>
      </c>
      <c r="DM127" s="31">
        <v>0.90102389078498291</v>
      </c>
      <c r="DN127" s="31">
        <v>0.89252450334040279</v>
      </c>
      <c r="DO127" s="31">
        <v>0.89717514124293785</v>
      </c>
      <c r="DP127" s="31">
        <v>0.87626546681664796</v>
      </c>
      <c r="DQ127" s="31">
        <v>0.86235294117647054</v>
      </c>
      <c r="DR127" s="31">
        <v>0.85512367491166075</v>
      </c>
      <c r="DS127" s="31">
        <v>0.849942726231386</v>
      </c>
      <c r="DT127" s="31">
        <v>0.88555555555555554</v>
      </c>
      <c r="DU127" s="31">
        <v>0.88555555555555554</v>
      </c>
      <c r="DV127" s="31">
        <v>0.8731387230700306</v>
      </c>
      <c r="DW127" s="31">
        <v>0.92326431181485991</v>
      </c>
      <c r="DX127" s="31">
        <v>0.91111111111111109</v>
      </c>
      <c r="DY127" s="31">
        <v>0.85815602836879434</v>
      </c>
      <c r="DZ127" s="31">
        <v>0.86808009422850407</v>
      </c>
      <c r="EA127" s="31">
        <v>0.90375586854460099</v>
      </c>
      <c r="EB127" s="31">
        <v>0.92596944770857814</v>
      </c>
      <c r="EC127" s="31">
        <v>0.9</v>
      </c>
      <c r="ED127" s="31">
        <v>0.89861955168234975</v>
      </c>
      <c r="EE127" s="31">
        <v>0.87663107947805452</v>
      </c>
      <c r="EF127" s="31">
        <v>0.89522700814901046</v>
      </c>
      <c r="EG127" s="31">
        <v>0.8501783590963139</v>
      </c>
      <c r="EH127" s="31">
        <v>0.85882352941176465</v>
      </c>
      <c r="EI127" s="31">
        <v>0.89328537170263789</v>
      </c>
      <c r="EJ127" s="31">
        <v>0.89675174013921111</v>
      </c>
      <c r="EK127" s="31">
        <v>0.89541715628672147</v>
      </c>
      <c r="EL127" s="31">
        <v>0.88090203489481633</v>
      </c>
    </row>
    <row r="128" spans="38:142" x14ac:dyDescent="0.35">
      <c r="AL128" s="19" t="s">
        <v>167</v>
      </c>
      <c r="AM128" s="31">
        <v>0.98907103825136611</v>
      </c>
      <c r="AN128" s="31">
        <v>0.95081967213114749</v>
      </c>
      <c r="AO128" s="31" t="e">
        <v>#NUM!</v>
      </c>
      <c r="AP128" s="31">
        <v>0.97267759562841527</v>
      </c>
      <c r="AQ128" s="31">
        <v>0.9505494505494505</v>
      </c>
      <c r="AR128" s="31">
        <v>0.95628415300546443</v>
      </c>
      <c r="AS128" s="31">
        <v>0.96703296703296704</v>
      </c>
      <c r="AT128" s="31" t="e">
        <v>#NUM!</v>
      </c>
      <c r="AU128" s="31">
        <v>0.97282608695652173</v>
      </c>
      <c r="AV128" s="31">
        <v>0.97267759562841527</v>
      </c>
      <c r="AW128" s="31">
        <v>0.95675675675675675</v>
      </c>
      <c r="AX128" s="31">
        <v>0.97837837837837838</v>
      </c>
      <c r="AY128" s="31">
        <v>0.96296296296296291</v>
      </c>
      <c r="AZ128" s="31">
        <v>1</v>
      </c>
      <c r="BA128" s="31">
        <v>1</v>
      </c>
      <c r="BB128" s="31">
        <v>0.97765739724043343</v>
      </c>
      <c r="BC128" s="31">
        <v>0.96464646464646464</v>
      </c>
      <c r="BD128" s="31">
        <v>0.98412698412698407</v>
      </c>
      <c r="BE128" s="31">
        <v>0.92929292929292928</v>
      </c>
      <c r="BF128" s="31">
        <v>0.9747474747474747</v>
      </c>
      <c r="BG128" s="31">
        <v>0.9642857142857143</v>
      </c>
      <c r="BH128" s="31">
        <v>1</v>
      </c>
      <c r="BI128" s="31">
        <v>0.96938775510204078</v>
      </c>
      <c r="BJ128" s="31">
        <v>0.96949818888594397</v>
      </c>
      <c r="BK128" s="31">
        <v>0.89423076923076927</v>
      </c>
      <c r="BL128" s="31">
        <v>0.9747474747474747</v>
      </c>
      <c r="BM128" s="31">
        <v>0.86538461538461542</v>
      </c>
      <c r="BN128" s="31">
        <v>0.96634615384615385</v>
      </c>
      <c r="BO128" s="31">
        <v>0.96634615384615385</v>
      </c>
      <c r="BP128" s="31">
        <v>0.98484848484848486</v>
      </c>
      <c r="BQ128" s="31">
        <v>0.95454545454545459</v>
      </c>
      <c r="BR128" s="31">
        <v>0.943778443778444</v>
      </c>
      <c r="BS128" s="31">
        <v>0.9907407407407407</v>
      </c>
      <c r="BT128" s="31">
        <v>0.94907407407407407</v>
      </c>
      <c r="BU128" s="31">
        <v>1</v>
      </c>
      <c r="BV128" s="31">
        <v>0.99082568807339455</v>
      </c>
      <c r="BW128" s="31">
        <v>0.97247706422018354</v>
      </c>
      <c r="BX128" s="31">
        <v>0.97685185185185186</v>
      </c>
      <c r="BY128" s="31">
        <v>0.9504504504504504</v>
      </c>
      <c r="BZ128" s="31">
        <v>0.97577426705867076</v>
      </c>
      <c r="CA128" s="31">
        <v>0.97942386831275718</v>
      </c>
      <c r="CB128" s="31">
        <v>0.99578059071729963</v>
      </c>
      <c r="CC128" s="31">
        <v>0.95081967213114749</v>
      </c>
      <c r="CD128" s="31">
        <v>0.9916666666666667</v>
      </c>
      <c r="CE128" s="31">
        <v>0.95473251028806583</v>
      </c>
      <c r="CF128" s="31">
        <v>1</v>
      </c>
      <c r="CG128" s="31">
        <v>0.95061728395061729</v>
      </c>
      <c r="CH128" s="31">
        <v>0.9747200845809364</v>
      </c>
      <c r="CI128" s="31">
        <v>0.95061728395061729</v>
      </c>
      <c r="CJ128" s="31">
        <v>0.97942386831275718</v>
      </c>
      <c r="CK128" s="31">
        <v>0.85185185185185186</v>
      </c>
      <c r="CL128" s="31">
        <v>0.83950617283950613</v>
      </c>
      <c r="CM128" s="31">
        <v>0.88888888888888884</v>
      </c>
      <c r="CN128" s="31">
        <v>0.95884773662551437</v>
      </c>
      <c r="CO128" s="31">
        <v>0.94650205761316875</v>
      </c>
      <c r="CP128" s="31">
        <v>0.91651969429747215</v>
      </c>
      <c r="CQ128" s="31">
        <v>0.9866071428571429</v>
      </c>
      <c r="CR128" s="31">
        <v>0.88381742738589208</v>
      </c>
      <c r="CS128" s="31">
        <v>0.963963963963964</v>
      </c>
      <c r="CT128" s="31">
        <v>0.97297297297297303</v>
      </c>
      <c r="CU128" s="31">
        <v>0.98198198198198194</v>
      </c>
      <c r="CV128" s="31">
        <v>0.94273127753303965</v>
      </c>
      <c r="CW128" s="31">
        <v>0.92511013215859028</v>
      </c>
      <c r="CX128" s="31">
        <v>0.95102641412194056</v>
      </c>
      <c r="CY128" s="31">
        <v>0.9049586776859504</v>
      </c>
      <c r="CZ128" s="31">
        <v>0.97747747747747749</v>
      </c>
      <c r="DA128" s="31">
        <v>0.92561983471074383</v>
      </c>
      <c r="DB128" s="31">
        <v>0.97520661157024791</v>
      </c>
      <c r="DC128" s="31">
        <v>0.97247706422018354</v>
      </c>
      <c r="DD128" s="31">
        <v>0.97247706422018354</v>
      </c>
      <c r="DE128" s="31">
        <v>0.95412844036697253</v>
      </c>
      <c r="DF128" s="31">
        <v>0.95462073860739405</v>
      </c>
      <c r="DG128" s="31">
        <v>0.93388429752066116</v>
      </c>
      <c r="DH128" s="31">
        <v>0.98623853211009171</v>
      </c>
      <c r="DI128" s="31">
        <v>0.93650793650793651</v>
      </c>
      <c r="DJ128" s="31">
        <v>0.76095617529880477</v>
      </c>
      <c r="DK128" s="31">
        <v>0.92340425531914894</v>
      </c>
      <c r="DL128" s="31">
        <v>0.95983935742971882</v>
      </c>
      <c r="DM128" s="31">
        <v>0.95102040816326527</v>
      </c>
      <c r="DN128" s="31">
        <v>0.92169299462137544</v>
      </c>
      <c r="DO128" s="31">
        <v>0.9508928571428571</v>
      </c>
      <c r="DP128" s="31">
        <v>0.84063745019920322</v>
      </c>
      <c r="DQ128" s="31">
        <v>0.8839285714285714</v>
      </c>
      <c r="DR128" s="31">
        <v>0.84375</v>
      </c>
      <c r="DS128" s="31">
        <v>0.87916666666666665</v>
      </c>
      <c r="DT128" s="31">
        <v>0.94396551724137934</v>
      </c>
      <c r="DU128" s="31">
        <v>0.87148594377510036</v>
      </c>
      <c r="DV128" s="31">
        <v>0.88768957235053969</v>
      </c>
      <c r="DW128" s="31">
        <v>0.85581395348837208</v>
      </c>
      <c r="DX128" s="31">
        <v>0.89719626168224298</v>
      </c>
      <c r="DY128" s="31">
        <v>0.83720930232558144</v>
      </c>
      <c r="DZ128" s="31">
        <v>0.89573459715639814</v>
      </c>
      <c r="EA128" s="31">
        <v>0.83771929824561409</v>
      </c>
      <c r="EB128" s="31">
        <v>0.96261682242990654</v>
      </c>
      <c r="EC128" s="31">
        <v>0.9151785714285714</v>
      </c>
      <c r="ED128" s="31">
        <v>0.88592411525095527</v>
      </c>
      <c r="EE128" s="31">
        <v>0.92718446601941751</v>
      </c>
      <c r="EF128" s="31">
        <v>0.95192307692307687</v>
      </c>
      <c r="EG128" s="31">
        <v>0.90338164251207731</v>
      </c>
      <c r="EH128" s="31">
        <v>0.96135265700483097</v>
      </c>
      <c r="EI128" s="31">
        <v>0.85781990521327012</v>
      </c>
      <c r="EJ128" s="31">
        <v>0.95260663507109</v>
      </c>
      <c r="EK128" s="31">
        <v>0.94786729857819907</v>
      </c>
      <c r="EL128" s="31">
        <v>0.92887652590313741</v>
      </c>
    </row>
    <row r="129" spans="38:142" x14ac:dyDescent="0.35">
      <c r="AL129" s="19" t="s">
        <v>168</v>
      </c>
      <c r="AM129" s="31">
        <v>0.94117647058823528</v>
      </c>
      <c r="AN129" s="31">
        <v>0.91948470209339772</v>
      </c>
      <c r="AO129" s="31">
        <v>0.9228346456692913</v>
      </c>
      <c r="AP129" s="31">
        <v>0.90266875981161698</v>
      </c>
      <c r="AQ129" s="31">
        <v>0.93066255778120188</v>
      </c>
      <c r="AR129" s="31">
        <v>0.95727848101265822</v>
      </c>
      <c r="AS129" s="31">
        <v>0.92812499999999998</v>
      </c>
      <c r="AT129" s="31">
        <v>0.92889008813662866</v>
      </c>
      <c r="AU129" s="31">
        <v>0.92867981790591803</v>
      </c>
      <c r="AV129" s="31">
        <v>0.91955835962145105</v>
      </c>
      <c r="AW129" s="31">
        <v>0.90771558245083206</v>
      </c>
      <c r="AX129" s="31">
        <v>0.93508500772797531</v>
      </c>
      <c r="AY129" s="31">
        <v>0.92342342342342343</v>
      </c>
      <c r="AZ129" s="31">
        <v>0.9208523592085236</v>
      </c>
      <c r="BA129" s="31">
        <v>0.91830559757942509</v>
      </c>
      <c r="BB129" s="31">
        <v>0.92194573541679259</v>
      </c>
      <c r="BC129" s="31">
        <v>0.92664670658682635</v>
      </c>
      <c r="BD129" s="31">
        <v>0.96159754224270355</v>
      </c>
      <c r="BE129" s="31">
        <v>0.87289433384379789</v>
      </c>
      <c r="BF129" s="31">
        <v>0.89164086687306499</v>
      </c>
      <c r="BG129" s="31">
        <v>0.94036697247706424</v>
      </c>
      <c r="BH129" s="31">
        <v>0.94478527607361962</v>
      </c>
      <c r="BI129" s="31">
        <v>0.92133131618759456</v>
      </c>
      <c r="BJ129" s="31">
        <v>0.92275185918352443</v>
      </c>
      <c r="BK129" s="31">
        <v>0.80269814502529513</v>
      </c>
      <c r="BL129" s="31">
        <v>0.9030206677265501</v>
      </c>
      <c r="BM129" s="31">
        <v>0.8682432432432432</v>
      </c>
      <c r="BN129" s="31">
        <v>0.89411764705882357</v>
      </c>
      <c r="BO129" s="31">
        <v>0.88720538720538722</v>
      </c>
      <c r="BP129" s="31">
        <v>0.91503267973856206</v>
      </c>
      <c r="BQ129" s="31">
        <v>0.89333333333333331</v>
      </c>
      <c r="BR129" s="31">
        <v>0.88052158619017085</v>
      </c>
      <c r="BS129" s="31">
        <v>0.91382113821138211</v>
      </c>
      <c r="BT129" s="31">
        <v>0.93399339933993397</v>
      </c>
      <c r="BU129" s="31">
        <v>0.92776886035313</v>
      </c>
      <c r="BV129" s="31">
        <v>0.94308943089430897</v>
      </c>
      <c r="BW129" s="31">
        <v>0.93838862559241709</v>
      </c>
      <c r="BX129" s="31">
        <v>0.94728434504792336</v>
      </c>
      <c r="BY129" s="31">
        <v>0.95899053627760256</v>
      </c>
      <c r="BZ129" s="31">
        <v>0.9376194765309569</v>
      </c>
      <c r="CA129" s="31">
        <v>0.90644171779141103</v>
      </c>
      <c r="CB129" s="31">
        <v>0.93228346456692912</v>
      </c>
      <c r="CC129" s="31">
        <v>0.9025875190258752</v>
      </c>
      <c r="CD129" s="31">
        <v>0.91131498470948014</v>
      </c>
      <c r="CE129" s="31">
        <v>0.91433021806853587</v>
      </c>
      <c r="CF129" s="31">
        <v>0.90513219284603419</v>
      </c>
      <c r="CG129" s="31">
        <v>0.89123867069486407</v>
      </c>
      <c r="CH129" s="31">
        <v>0.90904696681473263</v>
      </c>
      <c r="CI129" s="31">
        <v>0.93423019431988041</v>
      </c>
      <c r="CJ129" s="31">
        <v>0.91716867469879515</v>
      </c>
      <c r="CK129" s="31">
        <v>0.92189892802450235</v>
      </c>
      <c r="CL129" s="31">
        <v>0.90977443609022557</v>
      </c>
      <c r="CM129" s="31">
        <v>0.92603550295857984</v>
      </c>
      <c r="CN129" s="31">
        <v>0.9375</v>
      </c>
      <c r="CO129" s="31">
        <v>0.92541856925418564</v>
      </c>
      <c r="CP129" s="31">
        <v>0.92457518647802417</v>
      </c>
      <c r="CQ129" s="31">
        <v>0.93103448275862066</v>
      </c>
      <c r="CR129" s="31">
        <v>0.95054095826893359</v>
      </c>
      <c r="CS129" s="31">
        <v>0.91628614916286144</v>
      </c>
      <c r="CT129" s="31">
        <v>0.9441087613293051</v>
      </c>
      <c r="CU129" s="31">
        <v>0.93731343283582091</v>
      </c>
      <c r="CV129" s="31">
        <v>0.9349112426035503</v>
      </c>
      <c r="CW129" s="31">
        <v>0.92985074626865671</v>
      </c>
      <c r="CX129" s="31">
        <v>0.93486368188967839</v>
      </c>
      <c r="CY129" s="31">
        <v>0.92985074626865671</v>
      </c>
      <c r="CZ129" s="31">
        <v>0.94666666666666666</v>
      </c>
      <c r="DA129" s="31">
        <v>0.91916167664670656</v>
      </c>
      <c r="DB129" s="31">
        <v>0.92911010558069385</v>
      </c>
      <c r="DC129" s="31">
        <v>0.93353474320241692</v>
      </c>
      <c r="DD129" s="31">
        <v>0.94108761329305135</v>
      </c>
      <c r="DE129" s="31">
        <v>0.92433234421364985</v>
      </c>
      <c r="DF129" s="31">
        <v>0.93196341369597746</v>
      </c>
      <c r="DG129" s="31">
        <v>0.91527987897125562</v>
      </c>
      <c r="DH129" s="31">
        <v>0.94205052005943535</v>
      </c>
      <c r="DI129" s="31">
        <v>0.87347560975609762</v>
      </c>
      <c r="DJ129" s="31">
        <v>0.89739663093415012</v>
      </c>
      <c r="DK129" s="31">
        <v>0.92365269461077848</v>
      </c>
      <c r="DL129" s="31">
        <v>0.93113772455089816</v>
      </c>
      <c r="DM129" s="31">
        <v>0.89269746646795822</v>
      </c>
      <c r="DN129" s="31">
        <v>0.91081293219293913</v>
      </c>
      <c r="DO129" s="31">
        <v>0.86328725038402454</v>
      </c>
      <c r="DP129" s="31">
        <v>0.91158536585365857</v>
      </c>
      <c r="DQ129" s="31">
        <v>0.8766025641025641</v>
      </c>
      <c r="DR129" s="31">
        <v>0.88995215311004783</v>
      </c>
      <c r="DS129" s="31">
        <v>0.88923076923076927</v>
      </c>
      <c r="DT129" s="31">
        <v>0.88719512195121952</v>
      </c>
      <c r="DU129" s="31">
        <v>0.86585365853658536</v>
      </c>
      <c r="DV129" s="31">
        <v>0.88338669759555277</v>
      </c>
      <c r="DW129" s="31">
        <v>0.89984591679506931</v>
      </c>
      <c r="DX129" s="31">
        <v>0.92233009708737868</v>
      </c>
      <c r="DY129" s="31">
        <v>0.88872180451127825</v>
      </c>
      <c r="DZ129" s="31">
        <v>0.88148148148148153</v>
      </c>
      <c r="EA129" s="31">
        <v>0.91090629800307221</v>
      </c>
      <c r="EB129" s="31">
        <v>0.9357945425361156</v>
      </c>
      <c r="EC129" s="31">
        <v>0.9178082191780822</v>
      </c>
      <c r="ED129" s="31">
        <v>0.90812690851321121</v>
      </c>
      <c r="EE129" s="31">
        <v>0.90476190476190477</v>
      </c>
      <c r="EF129" s="31">
        <v>0.89434523809523814</v>
      </c>
      <c r="EG129" s="31">
        <v>0.8860569715142429</v>
      </c>
      <c r="EH129" s="31">
        <v>0.85179640718562877</v>
      </c>
      <c r="EI129" s="31">
        <v>0.93384615384615388</v>
      </c>
      <c r="EJ129" s="31">
        <v>0.91505216095380026</v>
      </c>
      <c r="EK129" s="31">
        <v>0.91330343796711511</v>
      </c>
      <c r="EL129" s="31">
        <v>0.89988032490344061</v>
      </c>
    </row>
    <row r="130" spans="38:142" x14ac:dyDescent="0.35">
      <c r="AL130" s="19" t="s">
        <v>169</v>
      </c>
      <c r="AM130" s="31">
        <v>0.84955752212389379</v>
      </c>
      <c r="AN130" s="31">
        <v>0.87131367292225204</v>
      </c>
      <c r="AO130" s="31">
        <v>0.86135693215339237</v>
      </c>
      <c r="AP130" s="31">
        <v>0.78761061946902655</v>
      </c>
      <c r="AQ130" s="31">
        <v>0.85270270270270265</v>
      </c>
      <c r="AR130" s="31">
        <v>0.85810810810810811</v>
      </c>
      <c r="AS130" s="31">
        <v>0.87972972972972974</v>
      </c>
      <c r="AT130" s="31">
        <v>0.85148275531558626</v>
      </c>
      <c r="AU130" s="31">
        <v>0.90455840455840453</v>
      </c>
      <c r="AV130" s="31">
        <v>0.85103244837758107</v>
      </c>
      <c r="AW130" s="31">
        <v>0.91506849315068495</v>
      </c>
      <c r="AX130" s="31">
        <v>0.90109890109890112</v>
      </c>
      <c r="AY130" s="31">
        <v>0.87777777777777777</v>
      </c>
      <c r="AZ130" s="31">
        <v>0.9098360655737705</v>
      </c>
      <c r="BA130" s="31">
        <v>0.89480874316939896</v>
      </c>
      <c r="BB130" s="31">
        <v>0.89345440481521698</v>
      </c>
      <c r="BC130" s="31">
        <v>0.87763713080168781</v>
      </c>
      <c r="BD130" s="31">
        <v>0.91134289439374183</v>
      </c>
      <c r="BE130" s="31">
        <v>0.89451476793248941</v>
      </c>
      <c r="BF130" s="31">
        <v>0.88326300984528827</v>
      </c>
      <c r="BG130" s="31">
        <v>0.86052631578947369</v>
      </c>
      <c r="BH130" s="31">
        <v>0.89830508474576276</v>
      </c>
      <c r="BI130" s="31">
        <v>0.87874837027379404</v>
      </c>
      <c r="BJ130" s="31">
        <v>0.88633393911174829</v>
      </c>
      <c r="BK130" s="31">
        <v>0.75664335664335669</v>
      </c>
      <c r="BL130" s="31">
        <v>0.85794655414908583</v>
      </c>
      <c r="BM130" s="31">
        <v>0.7846153846153846</v>
      </c>
      <c r="BN130" s="31">
        <v>0.76356050069541026</v>
      </c>
      <c r="BO130" s="31">
        <v>0.79887482419127986</v>
      </c>
      <c r="BP130" s="31">
        <v>0.85794655414908583</v>
      </c>
      <c r="BQ130" s="31">
        <v>0.83263009845288327</v>
      </c>
      <c r="BR130" s="31">
        <v>0.80745961041378378</v>
      </c>
      <c r="BS130" s="31">
        <v>0.89515072083879421</v>
      </c>
      <c r="BT130" s="31">
        <v>0.876</v>
      </c>
      <c r="BU130" s="31">
        <v>0.92398427260812577</v>
      </c>
      <c r="BV130" s="31">
        <v>0.92005242463958059</v>
      </c>
      <c r="BW130" s="31">
        <v>0.91200000000000003</v>
      </c>
      <c r="BX130" s="31">
        <v>0.86399999999999999</v>
      </c>
      <c r="BY130" s="31">
        <v>0.92666666666666664</v>
      </c>
      <c r="BZ130" s="31">
        <v>0.90255058353616668</v>
      </c>
      <c r="CA130" s="31">
        <v>0.9082446808510638</v>
      </c>
      <c r="CB130" s="31">
        <v>0.93379310344827582</v>
      </c>
      <c r="CC130" s="31">
        <v>0.89646133682830931</v>
      </c>
      <c r="CD130" s="31">
        <v>0.90837696335078533</v>
      </c>
      <c r="CE130" s="31">
        <v>0.90172642762284194</v>
      </c>
      <c r="CF130" s="31">
        <v>0.94415584415584419</v>
      </c>
      <c r="CG130" s="31">
        <v>0.92164674634794153</v>
      </c>
      <c r="CH130" s="31">
        <v>0.91634358608643751</v>
      </c>
      <c r="CI130" s="31">
        <v>0.84485006518904826</v>
      </c>
      <c r="CJ130" s="31">
        <v>0.87958115183246077</v>
      </c>
      <c r="CK130" s="31">
        <v>0.84485006518904826</v>
      </c>
      <c r="CL130" s="31">
        <v>0.85658409387222945</v>
      </c>
      <c r="CM130" s="31">
        <v>0.83833116036505873</v>
      </c>
      <c r="CN130" s="31">
        <v>0.8599221789883269</v>
      </c>
      <c r="CO130" s="31">
        <v>0.85214007782101164</v>
      </c>
      <c r="CP130" s="31">
        <v>0.85375125617959768</v>
      </c>
      <c r="CQ130" s="31">
        <v>0.90791180285343709</v>
      </c>
      <c r="CR130" s="31">
        <v>0.89569752281616688</v>
      </c>
      <c r="CS130" s="31">
        <v>0.87029831387808043</v>
      </c>
      <c r="CT130" s="31">
        <v>0.87418936446173801</v>
      </c>
      <c r="CU130" s="31">
        <v>0.91439688715953304</v>
      </c>
      <c r="CV130" s="31">
        <v>0.91003911342894395</v>
      </c>
      <c r="CW130" s="31">
        <v>0.920881971465629</v>
      </c>
      <c r="CX130" s="31">
        <v>0.89905928229478971</v>
      </c>
      <c r="CY130" s="31">
        <v>0.8897535667963683</v>
      </c>
      <c r="CZ130" s="31">
        <v>0.88258575197889177</v>
      </c>
      <c r="DA130" s="31">
        <v>0.90897269180754225</v>
      </c>
      <c r="DB130" s="31">
        <v>0.89883268482490275</v>
      </c>
      <c r="DC130" s="31">
        <v>0.88586251621271073</v>
      </c>
      <c r="DD130" s="31">
        <v>0.85789473684210527</v>
      </c>
      <c r="DE130" s="31">
        <v>0.86831812255541074</v>
      </c>
      <c r="DF130" s="31">
        <v>0.88460286728827597</v>
      </c>
      <c r="DG130" s="31">
        <v>0.89035667107001326</v>
      </c>
      <c r="DH130" s="31">
        <v>0.84155844155844151</v>
      </c>
      <c r="DI130" s="31">
        <v>0.90740740740740744</v>
      </c>
      <c r="DJ130" s="31">
        <v>0.88639365918097757</v>
      </c>
      <c r="DK130" s="31">
        <v>0.87450462351387059</v>
      </c>
      <c r="DL130" s="31">
        <v>0.8535286284953395</v>
      </c>
      <c r="DM130" s="31">
        <v>0.91688311688311686</v>
      </c>
      <c r="DN130" s="31">
        <v>0.8815189354441666</v>
      </c>
      <c r="DO130" s="31">
        <v>0.88282290279627162</v>
      </c>
      <c r="DP130" s="31">
        <v>0.88375165125495381</v>
      </c>
      <c r="DQ130" s="31">
        <v>0.87351778656126478</v>
      </c>
      <c r="DR130" s="31">
        <v>0.85902503293807642</v>
      </c>
      <c r="DS130" s="31">
        <v>0.88219895287958117</v>
      </c>
      <c r="DT130" s="31">
        <v>0.9009247027741083</v>
      </c>
      <c r="DU130" s="31">
        <v>0.89922480620155043</v>
      </c>
      <c r="DV130" s="31">
        <v>0.8830665479151153</v>
      </c>
      <c r="DW130" s="31">
        <v>0.89328063241106714</v>
      </c>
      <c r="DX130" s="31">
        <v>0.86939313984168864</v>
      </c>
      <c r="DY130" s="31">
        <v>0.90369393139841692</v>
      </c>
      <c r="DZ130" s="31">
        <v>0.87846763540290618</v>
      </c>
      <c r="EA130" s="31">
        <v>0.89328063241106714</v>
      </c>
      <c r="EB130" s="31">
        <v>0.90105540897097625</v>
      </c>
      <c r="EC130" s="31">
        <v>0.8970976253298153</v>
      </c>
      <c r="ED130" s="31">
        <v>0.89089557225227678</v>
      </c>
      <c r="EE130" s="31">
        <v>0.907258064516129</v>
      </c>
      <c r="EF130" s="31">
        <v>0.90488771466314399</v>
      </c>
      <c r="EG130" s="31">
        <v>0.89743589743589747</v>
      </c>
      <c r="EH130" s="31">
        <v>0.88384512683578109</v>
      </c>
      <c r="EI130" s="31">
        <v>0.88621151271753684</v>
      </c>
      <c r="EJ130" s="31">
        <v>0.91469816272965876</v>
      </c>
      <c r="EK130" s="31">
        <v>0.91601049868766404</v>
      </c>
      <c r="EL130" s="31">
        <v>0.90147813965511592</v>
      </c>
    </row>
    <row r="131" spans="38:142" x14ac:dyDescent="0.35">
      <c r="AL131" s="19" t="s">
        <v>170</v>
      </c>
      <c r="AM131" s="31">
        <v>0.97329376854599403</v>
      </c>
      <c r="AN131" s="31">
        <v>1</v>
      </c>
      <c r="AO131" s="31">
        <v>0.97305389221556882</v>
      </c>
      <c r="AP131" s="31">
        <v>0.98208955223880601</v>
      </c>
      <c r="AQ131" s="31">
        <v>0.97846153846153849</v>
      </c>
      <c r="AR131" s="31">
        <v>0.99099099099099097</v>
      </c>
      <c r="AS131" s="31">
        <v>0.98198198198198194</v>
      </c>
      <c r="AT131" s="31">
        <v>0.98283881777641147</v>
      </c>
      <c r="AU131" s="31">
        <v>0.97619047619047616</v>
      </c>
      <c r="AV131" s="31">
        <v>0.98816568047337283</v>
      </c>
      <c r="AW131" s="31">
        <v>0.97590361445783136</v>
      </c>
      <c r="AX131" s="31">
        <v>0.99694189602446481</v>
      </c>
      <c r="AY131" s="31">
        <v>0.9607250755287009</v>
      </c>
      <c r="AZ131" s="31">
        <v>0.97297297297297303</v>
      </c>
      <c r="BA131" s="31">
        <v>0.97297297297297303</v>
      </c>
      <c r="BB131" s="31">
        <v>0.97769609837439886</v>
      </c>
      <c r="BC131" s="31">
        <v>0.9850746268656716</v>
      </c>
      <c r="BD131" s="31">
        <v>0.9970149253731343</v>
      </c>
      <c r="BE131" s="31">
        <v>0.9885057471264368</v>
      </c>
      <c r="BF131" s="31">
        <v>0.99713467048710602</v>
      </c>
      <c r="BG131" s="31">
        <v>0.92920353982300885</v>
      </c>
      <c r="BH131" s="31">
        <v>0.97626112759643913</v>
      </c>
      <c r="BI131" s="31">
        <v>0.96385542168674698</v>
      </c>
      <c r="BJ131" s="31">
        <v>0.97672143699407765</v>
      </c>
      <c r="BK131" s="31">
        <v>0.84393063583815031</v>
      </c>
      <c r="BL131" s="31">
        <v>1</v>
      </c>
      <c r="BM131" s="31">
        <v>0.87283236994219648</v>
      </c>
      <c r="BN131" s="31">
        <v>0.9826086956521739</v>
      </c>
      <c r="BO131" s="31">
        <v>0.96480938416422291</v>
      </c>
      <c r="BP131" s="31">
        <v>1</v>
      </c>
      <c r="BQ131" s="31">
        <v>1</v>
      </c>
      <c r="BR131" s="31">
        <v>0.95202586937096345</v>
      </c>
      <c r="BS131" s="31">
        <v>0.94219653179190754</v>
      </c>
      <c r="BT131" s="31">
        <v>0.98546511627906974</v>
      </c>
      <c r="BU131" s="31">
        <v>0.95375722543352603</v>
      </c>
      <c r="BV131" s="31">
        <v>0.98005698005698005</v>
      </c>
      <c r="BW131" s="31">
        <v>0.97720797720797725</v>
      </c>
      <c r="BX131" s="31">
        <v>0.99125364431486884</v>
      </c>
      <c r="BY131" s="31">
        <v>0.98265895953757221</v>
      </c>
      <c r="BZ131" s="31">
        <v>0.97322806208884305</v>
      </c>
      <c r="CA131" s="31">
        <v>0.95128939828080228</v>
      </c>
      <c r="CB131" s="31">
        <v>0.99714285714285711</v>
      </c>
      <c r="CC131" s="31">
        <v>0.95977011494252873</v>
      </c>
      <c r="CD131" s="31">
        <v>0.98559077809798268</v>
      </c>
      <c r="CE131" s="31">
        <v>0.96764705882352942</v>
      </c>
      <c r="CF131" s="31">
        <v>0.99137931034482762</v>
      </c>
      <c r="CG131" s="31">
        <v>0.98546511627906974</v>
      </c>
      <c r="CH131" s="31">
        <v>0.97689780484451383</v>
      </c>
      <c r="CI131" s="31">
        <v>0.96811594202898554</v>
      </c>
      <c r="CJ131" s="31">
        <v>0.98853868194842409</v>
      </c>
      <c r="CK131" s="31">
        <v>0.9279538904899135</v>
      </c>
      <c r="CL131" s="31">
        <v>0.95389048991354464</v>
      </c>
      <c r="CM131" s="31">
        <v>0.9708454810495627</v>
      </c>
      <c r="CN131" s="31">
        <v>0.99423631123919309</v>
      </c>
      <c r="CO131" s="31">
        <v>0.99132947976878616</v>
      </c>
      <c r="CP131" s="31">
        <v>0.97070146806262991</v>
      </c>
      <c r="CQ131" s="31">
        <v>0.9484240687679083</v>
      </c>
      <c r="CR131" s="31">
        <v>0.95965417867435154</v>
      </c>
      <c r="CS131" s="31">
        <v>0.97701149425287359</v>
      </c>
      <c r="CT131" s="31">
        <v>0.95375722543352603</v>
      </c>
      <c r="CU131" s="31">
        <v>0.95375722543352603</v>
      </c>
      <c r="CV131" s="31">
        <v>0.97142857142857142</v>
      </c>
      <c r="CW131" s="31">
        <v>0.95702005730659023</v>
      </c>
      <c r="CX131" s="31">
        <v>0.96015040304247823</v>
      </c>
      <c r="CY131" s="31">
        <v>0.91040462427745661</v>
      </c>
      <c r="CZ131" s="31">
        <v>0.94571428571428573</v>
      </c>
      <c r="DA131" s="31">
        <v>0.87283236994219648</v>
      </c>
      <c r="DB131" s="31">
        <v>0.90028490028490027</v>
      </c>
      <c r="DC131" s="31">
        <v>0.91714285714285715</v>
      </c>
      <c r="DD131" s="31">
        <v>0.92816091954022983</v>
      </c>
      <c r="DE131" s="31">
        <v>0.92285714285714282</v>
      </c>
      <c r="DF131" s="31">
        <v>0.91391387139415259</v>
      </c>
      <c r="DG131" s="31">
        <v>0.93063583815028905</v>
      </c>
      <c r="DH131" s="31">
        <v>0.95441595441595439</v>
      </c>
      <c r="DI131" s="31">
        <v>0.95348837209302328</v>
      </c>
      <c r="DJ131" s="31">
        <v>0.9652173913043478</v>
      </c>
      <c r="DK131" s="31">
        <v>0.94797687861271673</v>
      </c>
      <c r="DL131" s="31">
        <v>0.97681159420289854</v>
      </c>
      <c r="DM131" s="31">
        <v>0.97406340057636887</v>
      </c>
      <c r="DN131" s="31">
        <v>0.95751563276508556</v>
      </c>
      <c r="DO131" s="31">
        <v>0.89750692520775621</v>
      </c>
      <c r="DP131" s="31">
        <v>0.97674418604651159</v>
      </c>
      <c r="DQ131" s="31">
        <v>0.91620111731843579</v>
      </c>
      <c r="DR131" s="31">
        <v>0.89415041782729809</v>
      </c>
      <c r="DS131" s="31">
        <v>0.93905817174515238</v>
      </c>
      <c r="DT131" s="31">
        <v>0.9528023598820059</v>
      </c>
      <c r="DU131" s="31">
        <v>0.86740331491712708</v>
      </c>
      <c r="DV131" s="31">
        <v>0.92055235613489816</v>
      </c>
      <c r="DW131" s="31">
        <v>0.93235294117647061</v>
      </c>
      <c r="DX131" s="31">
        <v>0.93965517241379315</v>
      </c>
      <c r="DY131" s="31">
        <v>0.93948126801152743</v>
      </c>
      <c r="DZ131" s="31">
        <v>0.94524495677233433</v>
      </c>
      <c r="EA131" s="31">
        <v>0.94411764705882351</v>
      </c>
      <c r="EB131" s="31">
        <v>0.96264367816091956</v>
      </c>
      <c r="EC131" s="31">
        <v>0.95918367346938771</v>
      </c>
      <c r="ED131" s="31">
        <v>0.94609704815189377</v>
      </c>
      <c r="EE131" s="31">
        <v>0.91618497109826591</v>
      </c>
      <c r="EF131" s="31">
        <v>0.95977011494252873</v>
      </c>
      <c r="EG131" s="31">
        <v>0.93063583815028905</v>
      </c>
      <c r="EH131" s="31">
        <v>0.97109826589595372</v>
      </c>
      <c r="EI131" s="31">
        <v>0.96531791907514453</v>
      </c>
      <c r="EJ131" s="31">
        <v>0.93162393162393164</v>
      </c>
      <c r="EK131" s="31">
        <v>0.91977077363896853</v>
      </c>
      <c r="EL131" s="31">
        <v>0.94205740206072608</v>
      </c>
    </row>
    <row r="132" spans="38:142" x14ac:dyDescent="0.35">
      <c r="AL132" s="19" t="s">
        <v>171</v>
      </c>
      <c r="AM132" s="31">
        <v>0.90082644628099173</v>
      </c>
      <c r="AN132" s="31">
        <v>0.8925619834710744</v>
      </c>
      <c r="AO132" s="31">
        <v>0.84297520661157022</v>
      </c>
      <c r="AP132" s="31">
        <v>0.85123966942148765</v>
      </c>
      <c r="AQ132" s="31">
        <v>0.93801652892561982</v>
      </c>
      <c r="AR132" s="31">
        <v>0.90909090909090906</v>
      </c>
      <c r="AS132" s="31">
        <v>0.93388429752066116</v>
      </c>
      <c r="AT132" s="31">
        <v>0.89551357733175929</v>
      </c>
      <c r="AU132" s="31">
        <v>0.88429752066115708</v>
      </c>
      <c r="AV132" s="31">
        <v>0.86363636363636365</v>
      </c>
      <c r="AW132" s="31">
        <v>0.85123966942148765</v>
      </c>
      <c r="AX132" s="31">
        <v>0.85123966942148765</v>
      </c>
      <c r="AY132" s="31">
        <v>0.86363636363636365</v>
      </c>
      <c r="AZ132" s="31">
        <v>0.86363636363636365</v>
      </c>
      <c r="BA132" s="31">
        <v>0.8801652892561983</v>
      </c>
      <c r="BB132" s="31">
        <v>0.86540731995277453</v>
      </c>
      <c r="BC132" s="31">
        <v>0.87190082644628097</v>
      </c>
      <c r="BD132" s="31">
        <v>0.87190082644628097</v>
      </c>
      <c r="BE132" s="31">
        <v>0.84710743801652888</v>
      </c>
      <c r="BF132" s="31">
        <v>0.86363636363636365</v>
      </c>
      <c r="BG132" s="31">
        <v>0.90909090909090906</v>
      </c>
      <c r="BH132" s="31">
        <v>0.85655737704918034</v>
      </c>
      <c r="BI132" s="31">
        <v>0.87190082644628097</v>
      </c>
      <c r="BJ132" s="31">
        <v>0.87029922387597503</v>
      </c>
      <c r="BK132" s="31">
        <v>0.70661157024793386</v>
      </c>
      <c r="BL132" s="31">
        <v>0.90909090909090906</v>
      </c>
      <c r="BM132" s="31">
        <v>0.69834710743801653</v>
      </c>
      <c r="BN132" s="31">
        <v>0.76859504132231404</v>
      </c>
      <c r="BO132" s="31">
        <v>0.80578512396694213</v>
      </c>
      <c r="BP132" s="31">
        <v>0.89669421487603307</v>
      </c>
      <c r="BQ132" s="31">
        <v>0.88429752066115708</v>
      </c>
      <c r="BR132" s="31">
        <v>0.80991735537190068</v>
      </c>
      <c r="BS132" s="31">
        <v>0.85537190082644632</v>
      </c>
      <c r="BT132" s="31">
        <v>0.82644628099173556</v>
      </c>
      <c r="BU132" s="31">
        <v>0.86776859504132231</v>
      </c>
      <c r="BV132" s="31">
        <v>0.92561983471074383</v>
      </c>
      <c r="BW132" s="31">
        <v>0.88429752066115708</v>
      </c>
      <c r="BX132" s="31">
        <v>0.87190082644628097</v>
      </c>
      <c r="BY132" s="31">
        <v>0.9049586776859504</v>
      </c>
      <c r="BZ132" s="31">
        <v>0.87662337662337664</v>
      </c>
      <c r="CA132" s="31">
        <v>0.85123966942148765</v>
      </c>
      <c r="CB132" s="31">
        <v>0.90909090909090906</v>
      </c>
      <c r="CC132" s="31">
        <v>0.79338842975206614</v>
      </c>
      <c r="CD132" s="31">
        <v>0.83057851239669422</v>
      </c>
      <c r="CE132" s="31">
        <v>0.85950413223140498</v>
      </c>
      <c r="CF132" s="31">
        <v>0.9049586776859504</v>
      </c>
      <c r="CG132" s="31">
        <v>0.90082644628099173</v>
      </c>
      <c r="CH132" s="31">
        <v>0.86422668240850065</v>
      </c>
      <c r="CI132" s="31">
        <v>0.80565371024734977</v>
      </c>
      <c r="CJ132" s="31">
        <v>0.90909090909090906</v>
      </c>
      <c r="CK132" s="31">
        <v>0.77738515901060068</v>
      </c>
      <c r="CL132" s="31">
        <v>0.78091872791519434</v>
      </c>
      <c r="CM132" s="31">
        <v>0.82332155477031799</v>
      </c>
      <c r="CN132" s="31">
        <v>0.90909090909090906</v>
      </c>
      <c r="CO132" s="31">
        <v>0.95041322314049592</v>
      </c>
      <c r="CP132" s="31">
        <v>0.85083917046653945</v>
      </c>
      <c r="CQ132" s="31">
        <v>0.74911660777385158</v>
      </c>
      <c r="CR132" s="31">
        <v>0.78798586572438167</v>
      </c>
      <c r="CS132" s="31">
        <v>0.7385159010600707</v>
      </c>
      <c r="CT132" s="31">
        <v>0.7667844522968198</v>
      </c>
      <c r="CU132" s="31">
        <v>0.77031802120141346</v>
      </c>
      <c r="CV132" s="31">
        <v>0.77385159010600701</v>
      </c>
      <c r="CW132" s="31">
        <v>0.78671328671328666</v>
      </c>
      <c r="CX132" s="31">
        <v>0.76761224641083292</v>
      </c>
      <c r="CY132" s="31">
        <v>0.72791519434628971</v>
      </c>
      <c r="CZ132" s="31">
        <v>0.81978798586572443</v>
      </c>
      <c r="DA132" s="31">
        <v>0.73498233215547704</v>
      </c>
      <c r="DB132" s="31">
        <v>0.77385159010600701</v>
      </c>
      <c r="DC132" s="31">
        <v>0.72084805653710249</v>
      </c>
      <c r="DD132" s="31">
        <v>0.79858657243816256</v>
      </c>
      <c r="DE132" s="31">
        <v>0.79505300353356889</v>
      </c>
      <c r="DF132" s="31">
        <v>0.76728924785461872</v>
      </c>
      <c r="DG132" s="31">
        <v>0.74204946996466437</v>
      </c>
      <c r="DH132" s="31">
        <v>0.8127208480565371</v>
      </c>
      <c r="DI132" s="31">
        <v>0.72084805653710249</v>
      </c>
      <c r="DJ132" s="31">
        <v>0.74558303886925792</v>
      </c>
      <c r="DK132" s="31">
        <v>0.77031802120141346</v>
      </c>
      <c r="DL132" s="31">
        <v>0.79505300353356889</v>
      </c>
      <c r="DM132" s="31">
        <v>0.80565371024734977</v>
      </c>
      <c r="DN132" s="31">
        <v>0.77031802120141346</v>
      </c>
      <c r="DO132" s="31">
        <v>0.72791519434628971</v>
      </c>
      <c r="DP132" s="31">
        <v>0.77385159010600701</v>
      </c>
      <c r="DQ132" s="31">
        <v>0.73144876325088337</v>
      </c>
      <c r="DR132" s="31">
        <v>0.74558303886925792</v>
      </c>
      <c r="DS132" s="31">
        <v>0.73144876325088337</v>
      </c>
      <c r="DT132" s="31">
        <v>0.76325088339222613</v>
      </c>
      <c r="DU132" s="31">
        <v>0.75618374558303891</v>
      </c>
      <c r="DV132" s="31">
        <v>0.74709742554265524</v>
      </c>
      <c r="DW132" s="31">
        <v>0.74558303886925792</v>
      </c>
      <c r="DX132" s="31">
        <v>0.78091872791519434</v>
      </c>
      <c r="DY132" s="31">
        <v>0.74558303886925792</v>
      </c>
      <c r="DZ132" s="31">
        <v>0.80212014134275622</v>
      </c>
      <c r="EA132" s="31">
        <v>0.75618374558303891</v>
      </c>
      <c r="EB132" s="31">
        <v>0.78445229681978801</v>
      </c>
      <c r="EC132" s="31">
        <v>0.78798586572438167</v>
      </c>
      <c r="ED132" s="31">
        <v>0.77183240787481078</v>
      </c>
      <c r="EE132" s="31">
        <v>0.82685512367491165</v>
      </c>
      <c r="EF132" s="31">
        <v>0.83392226148409898</v>
      </c>
      <c r="EG132" s="31">
        <v>0.77031802120141346</v>
      </c>
      <c r="EH132" s="31">
        <v>0.78445229681978801</v>
      </c>
      <c r="EI132" s="31">
        <v>0.79858657243816256</v>
      </c>
      <c r="EJ132" s="31">
        <v>0.84805653710247353</v>
      </c>
      <c r="EK132" s="31">
        <v>0.8409893992932862</v>
      </c>
      <c r="EL132" s="31">
        <v>0.81474003028773356</v>
      </c>
    </row>
    <row r="133" spans="38:142" x14ac:dyDescent="0.35">
      <c r="AL133" s="19" t="s">
        <v>172</v>
      </c>
      <c r="AM133" s="31">
        <v>0.86928104575163401</v>
      </c>
      <c r="AN133" s="31">
        <v>0.85806451612903223</v>
      </c>
      <c r="AO133" s="31">
        <v>0.86250000000000004</v>
      </c>
      <c r="AP133" s="31">
        <v>0.88461538461538458</v>
      </c>
      <c r="AQ133" s="31">
        <v>0.86407766990291257</v>
      </c>
      <c r="AR133" s="31">
        <v>0.86816720257234725</v>
      </c>
      <c r="AS133" s="31">
        <v>0.88102893890675238</v>
      </c>
      <c r="AT133" s="31">
        <v>0.86967639398258056</v>
      </c>
      <c r="AU133" s="31">
        <v>0.90342679127725856</v>
      </c>
      <c r="AV133" s="31">
        <v>0.91874999999999996</v>
      </c>
      <c r="AW133" s="31">
        <v>0.86627906976744184</v>
      </c>
      <c r="AX133" s="31">
        <v>1</v>
      </c>
      <c r="AY133" s="31">
        <v>0.90793650793650793</v>
      </c>
      <c r="AZ133" s="31">
        <v>0.93125000000000002</v>
      </c>
      <c r="BA133" s="31">
        <v>0.90712074303405577</v>
      </c>
      <c r="BB133" s="31">
        <v>0.91925187314503787</v>
      </c>
      <c r="BC133" s="31">
        <v>0.89700996677740863</v>
      </c>
      <c r="BD133" s="31">
        <v>0.92546583850931674</v>
      </c>
      <c r="BE133" s="31">
        <v>0.8354838709677419</v>
      </c>
      <c r="BF133" s="31">
        <v>0.79099678456591638</v>
      </c>
      <c r="BG133" s="31">
        <v>0.90220820189274453</v>
      </c>
      <c r="BH133" s="31">
        <v>0.91588785046728971</v>
      </c>
      <c r="BI133" s="31">
        <v>0.92405063291139244</v>
      </c>
      <c r="BJ133" s="31">
        <v>0.8844433065845444</v>
      </c>
      <c r="BK133" s="31">
        <v>0.87341772151898733</v>
      </c>
      <c r="BL133" s="31">
        <v>0.90851735015772872</v>
      </c>
      <c r="BM133" s="31">
        <v>0.79865771812080533</v>
      </c>
      <c r="BN133" s="31">
        <v>0.83112582781456956</v>
      </c>
      <c r="BO133" s="31">
        <v>0.90432098765432101</v>
      </c>
      <c r="BP133" s="31">
        <v>0.90851735015772872</v>
      </c>
      <c r="BQ133" s="31">
        <v>0.90734824281150162</v>
      </c>
      <c r="BR133" s="31">
        <v>0.87598645689080612</v>
      </c>
      <c r="BS133" s="31">
        <v>0.9264214046822743</v>
      </c>
      <c r="BT133" s="31">
        <v>0.86708860759493667</v>
      </c>
      <c r="BU133" s="31">
        <v>0.84294871794871795</v>
      </c>
      <c r="BV133" s="31">
        <v>0.86984126984126986</v>
      </c>
      <c r="BW133" s="31">
        <v>0.87138263665594851</v>
      </c>
      <c r="BX133" s="31">
        <v>0.90825688073394495</v>
      </c>
      <c r="BY133" s="31">
        <v>0.89751552795031053</v>
      </c>
      <c r="BZ133" s="31">
        <v>0.88335072077248611</v>
      </c>
      <c r="CA133" s="31">
        <v>0.89130434782608692</v>
      </c>
      <c r="CB133" s="31">
        <v>0.91194968553459121</v>
      </c>
      <c r="CC133" s="31">
        <v>0.87462686567164183</v>
      </c>
      <c r="CD133" s="31">
        <v>0.87462686567164183</v>
      </c>
      <c r="CE133" s="31">
        <v>0.90519877675840976</v>
      </c>
      <c r="CF133" s="31">
        <v>0.917981072555205</v>
      </c>
      <c r="CG133" s="31">
        <v>0.89130434782608692</v>
      </c>
      <c r="CH133" s="31">
        <v>0.89528456597766637</v>
      </c>
      <c r="CI133" s="31">
        <v>0.91692307692307695</v>
      </c>
      <c r="CJ133" s="31">
        <v>0.90936555891238668</v>
      </c>
      <c r="CK133" s="31">
        <v>0.92097264437689974</v>
      </c>
      <c r="CL133" s="31">
        <v>0.91717791411042948</v>
      </c>
      <c r="CM133" s="31">
        <v>0.91515151515151516</v>
      </c>
      <c r="CN133" s="31">
        <v>0.93413173652694614</v>
      </c>
      <c r="CO133" s="31">
        <v>0.89329268292682928</v>
      </c>
      <c r="CP133" s="31">
        <v>0.91528787556115465</v>
      </c>
      <c r="CQ133" s="31">
        <v>0.91420118343195267</v>
      </c>
      <c r="CR133" s="31">
        <v>0.91317365269461082</v>
      </c>
      <c r="CS133" s="31">
        <v>0.93432835820895521</v>
      </c>
      <c r="CT133" s="31">
        <v>0.9363636363636364</v>
      </c>
      <c r="CU133" s="31">
        <v>0.93413173652694614</v>
      </c>
      <c r="CV133" s="31">
        <v>0.89457831325301207</v>
      </c>
      <c r="CW133" s="31">
        <v>0.91124260355029585</v>
      </c>
      <c r="CX133" s="31">
        <v>0.91971706914705831</v>
      </c>
      <c r="CY133" s="31">
        <v>0.88036809815950923</v>
      </c>
      <c r="CZ133" s="31">
        <v>0.92105263157894735</v>
      </c>
      <c r="DA133" s="31">
        <v>0.89783281733746134</v>
      </c>
      <c r="DB133" s="31">
        <v>0.88993710691823902</v>
      </c>
      <c r="DC133" s="31">
        <v>0.88888888888888884</v>
      </c>
      <c r="DD133" s="31">
        <v>0.92514970059880242</v>
      </c>
      <c r="DE133" s="31">
        <v>0.89206349206349211</v>
      </c>
      <c r="DF133" s="31">
        <v>0.89932753364933427</v>
      </c>
      <c r="DG133" s="31">
        <v>0.86601307189542487</v>
      </c>
      <c r="DH133" s="31">
        <v>0.91916167664670656</v>
      </c>
      <c r="DI133" s="31">
        <v>0.86173633440514474</v>
      </c>
      <c r="DJ133" s="31">
        <v>0.88888888888888884</v>
      </c>
      <c r="DK133" s="31">
        <v>0.8856209150326797</v>
      </c>
      <c r="DL133" s="31">
        <v>0.8776758409785933</v>
      </c>
      <c r="DM133" s="31">
        <v>0.9015873015873016</v>
      </c>
      <c r="DN133" s="31">
        <v>0.88581200420496287</v>
      </c>
      <c r="DO133" s="31">
        <v>0.88782051282051277</v>
      </c>
      <c r="DP133" s="31">
        <v>0.87179487179487181</v>
      </c>
      <c r="DQ133" s="31">
        <v>0.86538461538461542</v>
      </c>
      <c r="DR133" s="31">
        <v>0.84466019417475724</v>
      </c>
      <c r="DS133" s="31">
        <v>0.88178913738019171</v>
      </c>
      <c r="DT133" s="31">
        <v>0.87735849056603776</v>
      </c>
      <c r="DU133" s="31">
        <v>0.89423076923076927</v>
      </c>
      <c r="DV133" s="31">
        <v>0.87471979876453665</v>
      </c>
      <c r="DW133" s="31">
        <v>0.86153846153846159</v>
      </c>
      <c r="DX133" s="31">
        <v>0.85669781931464173</v>
      </c>
      <c r="DY133" s="31">
        <v>0.86562499999999998</v>
      </c>
      <c r="DZ133" s="31">
        <v>0.85897435897435892</v>
      </c>
      <c r="EA133" s="31">
        <v>0.90654205607476634</v>
      </c>
      <c r="EB133" s="31">
        <v>0.86031746031746037</v>
      </c>
      <c r="EC133" s="31">
        <v>0.88854489164086692</v>
      </c>
      <c r="ED133" s="31">
        <v>0.87117714969436488</v>
      </c>
      <c r="EE133" s="31">
        <v>0.86184210526315785</v>
      </c>
      <c r="EF133" s="31">
        <v>0.86984126984126986</v>
      </c>
      <c r="EG133" s="31">
        <v>0.86407766990291257</v>
      </c>
      <c r="EH133" s="31">
        <v>0.85436893203883491</v>
      </c>
      <c r="EI133" s="31">
        <v>0.88852459016393448</v>
      </c>
      <c r="EJ133" s="31">
        <v>0.89808917197452232</v>
      </c>
      <c r="EK133" s="31">
        <v>0.90163934426229508</v>
      </c>
      <c r="EL133" s="31">
        <v>0.87691186906384666</v>
      </c>
    </row>
    <row r="134" spans="38:142" x14ac:dyDescent="0.35">
      <c r="AL134" s="19" t="s">
        <v>173</v>
      </c>
      <c r="AM134" s="31">
        <v>0.85545335085413932</v>
      </c>
      <c r="AN134" s="31">
        <v>0.85520974289580509</v>
      </c>
      <c r="AO134" s="31">
        <v>0.83888149134487355</v>
      </c>
      <c r="AP134" s="31">
        <v>0.84097035040431267</v>
      </c>
      <c r="AQ134" s="31">
        <v>0.84856396866840733</v>
      </c>
      <c r="AR134" s="31">
        <v>0.87947019867549669</v>
      </c>
      <c r="AS134" s="31">
        <v>0.8835978835978836</v>
      </c>
      <c r="AT134" s="31">
        <v>0.8574495694915597</v>
      </c>
      <c r="AU134" s="31">
        <v>0.87866666666666671</v>
      </c>
      <c r="AV134" s="31">
        <v>0.86005434782608692</v>
      </c>
      <c r="AW134" s="31">
        <v>0.88590604026845643</v>
      </c>
      <c r="AX134" s="31">
        <v>0.86211512717536809</v>
      </c>
      <c r="AY134" s="31">
        <v>0.89037433155080214</v>
      </c>
      <c r="AZ134" s="31">
        <v>0.886058981233244</v>
      </c>
      <c r="BA134" s="31">
        <v>0.90872483221476508</v>
      </c>
      <c r="BB134" s="31">
        <v>0.88170004670505564</v>
      </c>
      <c r="BC134" s="31">
        <v>0.87652645861601086</v>
      </c>
      <c r="BD134" s="31">
        <v>0.88844086021505375</v>
      </c>
      <c r="BE134" s="31">
        <v>0.85080645161290325</v>
      </c>
      <c r="BF134" s="31">
        <v>0.85733333333333328</v>
      </c>
      <c r="BG134" s="31">
        <v>0.90201342281879193</v>
      </c>
      <c r="BH134" s="31">
        <v>0.89200000000000002</v>
      </c>
      <c r="BI134" s="31">
        <v>0.89747003994673769</v>
      </c>
      <c r="BJ134" s="31">
        <v>0.88065579522040438</v>
      </c>
      <c r="BK134" s="31">
        <v>0.70277777777777772</v>
      </c>
      <c r="BL134" s="31">
        <v>0.87924016282225237</v>
      </c>
      <c r="BM134" s="31">
        <v>0.7303370786516854</v>
      </c>
      <c r="BN134" s="31">
        <v>0.81589958158995812</v>
      </c>
      <c r="BO134" s="31">
        <v>0.82923497267759561</v>
      </c>
      <c r="BP134" s="31">
        <v>0.91061452513966479</v>
      </c>
      <c r="BQ134" s="31">
        <v>0.86464088397790051</v>
      </c>
      <c r="BR134" s="31">
        <v>0.81896356894811928</v>
      </c>
      <c r="BS134" s="31">
        <v>0.83597883597883593</v>
      </c>
      <c r="BT134" s="31">
        <v>0.81258549931600543</v>
      </c>
      <c r="BU134" s="31">
        <v>0.836173001310616</v>
      </c>
      <c r="BV134" s="31">
        <v>0.86701434159061275</v>
      </c>
      <c r="BW134" s="31">
        <v>0.87401574803149606</v>
      </c>
      <c r="BX134" s="31">
        <v>0.86345381526104414</v>
      </c>
      <c r="BY134" s="31">
        <v>0.89124668435013266</v>
      </c>
      <c r="BZ134" s="31">
        <v>0.85435256083410616</v>
      </c>
      <c r="CA134" s="31">
        <v>0.87789203084832901</v>
      </c>
      <c r="CB134" s="31">
        <v>0.90208877284595301</v>
      </c>
      <c r="CC134" s="31">
        <v>0.86624203821656054</v>
      </c>
      <c r="CD134" s="31">
        <v>0.89467005076142136</v>
      </c>
      <c r="CE134" s="31">
        <v>0.89419354838709675</v>
      </c>
      <c r="CF134" s="31">
        <v>0.93700787401574803</v>
      </c>
      <c r="CG134" s="31">
        <v>0.90396927016645323</v>
      </c>
      <c r="CH134" s="31">
        <v>0.89658051217736612</v>
      </c>
      <c r="CI134" s="31">
        <v>0.86945169712793735</v>
      </c>
      <c r="CJ134" s="31">
        <v>0.90568475452196384</v>
      </c>
      <c r="CK134" s="31">
        <v>0.8571428571428571</v>
      </c>
      <c r="CL134" s="31">
        <v>0.86015831134564646</v>
      </c>
      <c r="CM134" s="31">
        <v>0.90079365079365081</v>
      </c>
      <c r="CN134" s="31">
        <v>0.90932642487046633</v>
      </c>
      <c r="CO134" s="31">
        <v>0.90645586297760206</v>
      </c>
      <c r="CP134" s="31">
        <v>0.8870019369685892</v>
      </c>
      <c r="CQ134" s="31">
        <v>0.86624203821656054</v>
      </c>
      <c r="CR134" s="31">
        <v>0.89668874172185431</v>
      </c>
      <c r="CS134" s="31">
        <v>0.87027707808564236</v>
      </c>
      <c r="CT134" s="31">
        <v>0.87690355329949243</v>
      </c>
      <c r="CU134" s="31">
        <v>0.8722860791826309</v>
      </c>
      <c r="CV134" s="31">
        <v>0.8923884514435696</v>
      </c>
      <c r="CW134" s="31">
        <v>0.88098318240620954</v>
      </c>
      <c r="CX134" s="31">
        <v>0.87939558919370853</v>
      </c>
      <c r="CY134" s="31">
        <v>0.88596491228070173</v>
      </c>
      <c r="CZ134" s="31">
        <v>0.87819732034104747</v>
      </c>
      <c r="DA134" s="31">
        <v>0.86901763224181361</v>
      </c>
      <c r="DB134" s="31">
        <v>0.85696202531645571</v>
      </c>
      <c r="DC134" s="31">
        <v>0.87690355329949243</v>
      </c>
      <c r="DD134" s="31">
        <v>0.91</v>
      </c>
      <c r="DE134" s="31">
        <v>0.89209535759096614</v>
      </c>
      <c r="DF134" s="31">
        <v>0.88130582872435403</v>
      </c>
      <c r="DG134" s="31">
        <v>0.84394506866416974</v>
      </c>
      <c r="DH134" s="31">
        <v>0.8839285714285714</v>
      </c>
      <c r="DI134" s="31">
        <v>0.81281407035175879</v>
      </c>
      <c r="DJ134" s="31">
        <v>0.81725888324873097</v>
      </c>
      <c r="DK134" s="31">
        <v>0.86940298507462688</v>
      </c>
      <c r="DL134" s="31">
        <v>0.86476426799007444</v>
      </c>
      <c r="DM134" s="31">
        <v>0.8498168498168498</v>
      </c>
      <c r="DN134" s="31">
        <v>0.84884724236782605</v>
      </c>
      <c r="DO134" s="31">
        <v>0.7839195979899497</v>
      </c>
      <c r="DP134" s="31">
        <v>0.845859872611465</v>
      </c>
      <c r="DQ134" s="31">
        <v>0.79551451187335087</v>
      </c>
      <c r="DR134" s="31">
        <v>0.79296875</v>
      </c>
      <c r="DS134" s="31">
        <v>0.81795511221945139</v>
      </c>
      <c r="DT134" s="31">
        <v>0.83665835411471323</v>
      </c>
      <c r="DU134" s="31">
        <v>0.82938978829389787</v>
      </c>
      <c r="DV134" s="31">
        <v>0.81460942672897541</v>
      </c>
      <c r="DW134" s="31">
        <v>0.82160194174757284</v>
      </c>
      <c r="DX134" s="31">
        <v>0.80052493438320205</v>
      </c>
      <c r="DY134" s="31">
        <v>0.8266331658291457</v>
      </c>
      <c r="DZ134" s="31">
        <v>0.82425742574257421</v>
      </c>
      <c r="EA134" s="31">
        <v>0.81152460984393759</v>
      </c>
      <c r="EB134" s="31">
        <v>0.82793017456359097</v>
      </c>
      <c r="EC134" s="31">
        <v>0.85609756097560974</v>
      </c>
      <c r="ED134" s="31">
        <v>0.82408140186937617</v>
      </c>
      <c r="EE134" s="31">
        <v>0.82767295597484281</v>
      </c>
      <c r="EF134" s="31">
        <v>0.85838509316770184</v>
      </c>
      <c r="EG134" s="31">
        <v>0.81457800511508949</v>
      </c>
      <c r="EH134" s="31">
        <v>0.81345177664974622</v>
      </c>
      <c r="EI134" s="31">
        <v>0.84054388133498148</v>
      </c>
      <c r="EJ134" s="31">
        <v>0.8702101359703337</v>
      </c>
      <c r="EK134" s="31">
        <v>0.83827160493827158</v>
      </c>
      <c r="EL134" s="31">
        <v>0.83758763616442378</v>
      </c>
    </row>
    <row r="135" spans="38:142" x14ac:dyDescent="0.35">
      <c r="AL135" s="19" t="s">
        <v>39</v>
      </c>
      <c r="AM135" s="31">
        <v>0.8769870100828604</v>
      </c>
      <c r="AN135" s="31">
        <v>0.86731448696678937</v>
      </c>
      <c r="AO135" s="31" t="e">
        <v>#NUM!</v>
      </c>
      <c r="AP135" s="31">
        <v>0.86221515055164888</v>
      </c>
      <c r="AQ135" s="31">
        <v>0.87383065625389922</v>
      </c>
      <c r="AR135" s="31">
        <v>0.87793545333962686</v>
      </c>
      <c r="AS135" s="31">
        <v>0.87762070416581772</v>
      </c>
      <c r="AT135" s="31" t="e">
        <v>#NUM!</v>
      </c>
      <c r="AU135" s="31">
        <v>0.89431424110346558</v>
      </c>
      <c r="AV135" s="31">
        <v>0.87982126010847428</v>
      </c>
      <c r="AW135" s="31">
        <v>0.88044339754521384</v>
      </c>
      <c r="AX135" s="31">
        <v>0.8788088422106981</v>
      </c>
      <c r="AY135" s="31">
        <v>0.89364174571519905</v>
      </c>
      <c r="AZ135" s="31">
        <v>0.89744744917349939</v>
      </c>
      <c r="BA135" s="31">
        <v>0.89601501760791413</v>
      </c>
      <c r="BB135" s="31">
        <v>0.88864170763778194</v>
      </c>
      <c r="BC135" s="31">
        <v>0.88729330618505908</v>
      </c>
      <c r="BD135" s="31">
        <v>0.8911702345968231</v>
      </c>
      <c r="BE135" s="31">
        <v>0.85827143157577168</v>
      </c>
      <c r="BF135" s="31">
        <v>0.86503027276665112</v>
      </c>
      <c r="BG135" s="31">
        <v>0.8930823200084228</v>
      </c>
      <c r="BH135" s="31">
        <v>0.90375193626273942</v>
      </c>
      <c r="BI135" s="31">
        <v>0.89868487333209413</v>
      </c>
      <c r="BJ135" s="31">
        <v>0.88532633924679527</v>
      </c>
      <c r="BK135" s="31">
        <v>0.76280797949896439</v>
      </c>
      <c r="BL135" s="31">
        <v>0.87590064591167904</v>
      </c>
      <c r="BM135" s="31">
        <v>0.77243289850012153</v>
      </c>
      <c r="BN135" s="31">
        <v>0.80919545414682714</v>
      </c>
      <c r="BO135" s="31">
        <v>0.83313532494227238</v>
      </c>
      <c r="BP135" s="31">
        <v>0.87893636566440358</v>
      </c>
      <c r="BQ135" s="31">
        <v>0.8603276506867169</v>
      </c>
      <c r="BR135" s="31">
        <v>0.82753375990728339</v>
      </c>
      <c r="BS135" s="31">
        <v>0.85336930695987778</v>
      </c>
      <c r="BT135" s="31">
        <v>0.84283607657683612</v>
      </c>
      <c r="BU135" s="31">
        <v>0.86076906259358665</v>
      </c>
      <c r="BV135" s="31">
        <v>0.87510057834488642</v>
      </c>
      <c r="BW135" s="31">
        <v>0.88098485677320681</v>
      </c>
      <c r="BX135" s="31">
        <v>0.87007118610576095</v>
      </c>
      <c r="BY135" s="31">
        <v>0.88309574053896034</v>
      </c>
      <c r="BZ135" s="31">
        <v>0.86660382969901573</v>
      </c>
      <c r="CA135" s="31">
        <v>0.88319715376785868</v>
      </c>
      <c r="CB135" s="31">
        <v>0.89039429056767216</v>
      </c>
      <c r="CC135" s="31">
        <v>0.86745809353036518</v>
      </c>
      <c r="CD135" s="31">
        <v>0.87028848348898069</v>
      </c>
      <c r="CE135" s="31">
        <v>0.88955054892588004</v>
      </c>
      <c r="CF135" s="31">
        <v>0.90135132508013716</v>
      </c>
      <c r="CG135" s="31">
        <v>0.89477933444786173</v>
      </c>
      <c r="CH135" s="31">
        <v>0.88528846140125073</v>
      </c>
      <c r="CI135" s="31">
        <v>0.86996230057312773</v>
      </c>
      <c r="CJ135" s="31">
        <v>0.88452912770193304</v>
      </c>
      <c r="CK135" s="31">
        <v>0.84645603893032362</v>
      </c>
      <c r="CL135" s="31">
        <v>0.85452665442391029</v>
      </c>
      <c r="CM135" s="31">
        <v>0.87605924706586447</v>
      </c>
      <c r="CN135" s="31">
        <v>0.89064767609028683</v>
      </c>
      <c r="CO135" s="31">
        <v>0.88540061275580118</v>
      </c>
      <c r="CP135" s="31">
        <v>0.87251166536303448</v>
      </c>
      <c r="CQ135" s="31">
        <v>0.88208405561356495</v>
      </c>
      <c r="CR135" s="31">
        <v>0.87296749803365448</v>
      </c>
      <c r="CS135" s="31">
        <v>0.86622988899685538</v>
      </c>
      <c r="CT135" s="31">
        <v>0.86531980551018617</v>
      </c>
      <c r="CU135" s="31">
        <v>0.8836551138611255</v>
      </c>
      <c r="CV135" s="31">
        <v>0.8840890662627181</v>
      </c>
      <c r="CW135" s="31">
        <v>0.88140131485984674</v>
      </c>
      <c r="CX135" s="31">
        <v>0.87653524901970692</v>
      </c>
      <c r="CY135" s="31">
        <v>0.86076183571195852</v>
      </c>
      <c r="CZ135" s="31">
        <v>0.88305808943396158</v>
      </c>
      <c r="DA135" s="31">
        <v>0.84851231886413414</v>
      </c>
      <c r="DB135" s="31" t="e">
        <v>#NUM!</v>
      </c>
      <c r="DC135" s="31">
        <v>0.86654178177355756</v>
      </c>
      <c r="DD135" s="31">
        <v>0.88619620787236331</v>
      </c>
      <c r="DE135" s="31">
        <v>0.87946903031774593</v>
      </c>
      <c r="DF135" s="31" t="e">
        <v>#NUM!</v>
      </c>
      <c r="DG135" s="31">
        <v>0.8593115963037381</v>
      </c>
      <c r="DH135" s="31">
        <v>0.87134696746348217</v>
      </c>
      <c r="DI135" s="31">
        <v>0.83882063154123354</v>
      </c>
      <c r="DJ135" s="31">
        <v>0.84021265763363018</v>
      </c>
      <c r="DK135" s="31">
        <v>0.86369208181031998</v>
      </c>
      <c r="DL135" s="31">
        <v>0.87693671806938733</v>
      </c>
      <c r="DM135" s="31">
        <v>0.87140818170294621</v>
      </c>
      <c r="DN135" s="31">
        <v>0.86024697636067682</v>
      </c>
      <c r="DO135" s="31">
        <v>0.83967388720503433</v>
      </c>
      <c r="DP135" s="31">
        <v>0.85405376816188427</v>
      </c>
      <c r="DQ135" s="31">
        <v>0.82196377715345659</v>
      </c>
      <c r="DR135" s="31">
        <v>0.82589293390978469</v>
      </c>
      <c r="DS135" s="31">
        <v>0.84375400629034381</v>
      </c>
      <c r="DT135" s="31">
        <v>0.8625586538644483</v>
      </c>
      <c r="DU135" s="31">
        <v>0.85413060924756368</v>
      </c>
      <c r="DV135" s="31">
        <v>0.84314680511893125</v>
      </c>
      <c r="DW135" s="31">
        <v>0.85293143783253378</v>
      </c>
      <c r="DX135" s="31">
        <v>0.84066772129368394</v>
      </c>
      <c r="DY135" s="31">
        <v>0.8391699173188687</v>
      </c>
      <c r="DZ135" s="31">
        <v>0.84251459116833705</v>
      </c>
      <c r="EA135" s="31">
        <v>0.85766412958407567</v>
      </c>
      <c r="EB135" s="31">
        <v>0.86033243668255921</v>
      </c>
      <c r="EC135" s="31">
        <v>0.86157029269624119</v>
      </c>
      <c r="ED135" s="31">
        <v>0.85069293236804155</v>
      </c>
      <c r="EE135" s="31">
        <v>0.85774036542074705</v>
      </c>
      <c r="EF135" s="31">
        <v>0.86665984325431111</v>
      </c>
      <c r="EG135" s="31">
        <v>0.83066590225965775</v>
      </c>
      <c r="EH135" s="31">
        <v>0.82984980286357979</v>
      </c>
      <c r="EI135" s="31">
        <v>0.86687833970137917</v>
      </c>
      <c r="EJ135" s="31">
        <v>0.87782020660603255</v>
      </c>
      <c r="EK135" s="31">
        <v>0.87024340512393028</v>
      </c>
      <c r="EL135" s="31">
        <v>0.85712255217566213</v>
      </c>
    </row>
    <row r="149" spans="38:56" x14ac:dyDescent="0.35">
      <c r="AL149" s="16" t="s">
        <v>203</v>
      </c>
      <c r="AM149" s="27" t="s">
        <v>43</v>
      </c>
      <c r="AN149" s="27" t="s">
        <v>44</v>
      </c>
      <c r="AO149" s="27" t="s">
        <v>45</v>
      </c>
      <c r="AP149" s="27" t="s">
        <v>46</v>
      </c>
      <c r="AQ149" s="27" t="s">
        <v>47</v>
      </c>
      <c r="AR149" s="27" t="s">
        <v>48</v>
      </c>
      <c r="AS149" s="27" t="s">
        <v>49</v>
      </c>
      <c r="AT149" s="27" t="s">
        <v>50</v>
      </c>
      <c r="AU149" s="27" t="s">
        <v>51</v>
      </c>
      <c r="AV149" s="27" t="s">
        <v>52</v>
      </c>
      <c r="AW149" s="27" t="s">
        <v>53</v>
      </c>
      <c r="AX149" s="27" t="s">
        <v>54</v>
      </c>
      <c r="AY149" s="27" t="s">
        <v>55</v>
      </c>
      <c r="AZ149" s="27"/>
    </row>
    <row r="150" spans="38:56" x14ac:dyDescent="0.35">
      <c r="AL150" s="16" t="s">
        <v>36</v>
      </c>
      <c r="AM150" s="27">
        <f>IF((COUNTIF(AM151:AM277,"&gt;0"))=0, "",(COUNTIF(AM151:AM277,"&gt;0")))</f>
        <v>107</v>
      </c>
      <c r="AN150" s="27">
        <f>IF((COUNTIF(AN151:AN277,"&gt;0"))=0, "",(COUNTIF(AN151:AN277,"&gt;0")))</f>
        <v>113</v>
      </c>
      <c r="AO150" s="27">
        <f>IF((COUNTIF(AO151:AO287,"&gt;0"))=0, "",(COUNTIF(AO151:AO287,"&gt;0")))</f>
        <v>117</v>
      </c>
      <c r="AP150" s="27">
        <f t="shared" ref="AP150:AX150" si="9">IF((COUNTIF(AP151:AP287,"&gt;0"))=0, "",(COUNTIF(AP151:AP287,"&gt;0")))</f>
        <v>103</v>
      </c>
      <c r="AQ150" s="27">
        <f t="shared" si="9"/>
        <v>107</v>
      </c>
      <c r="AR150" s="27">
        <f t="shared" si="9"/>
        <v>113</v>
      </c>
      <c r="AS150" s="27">
        <f t="shared" si="9"/>
        <v>107</v>
      </c>
      <c r="AT150" s="27">
        <f>IF((COUNTIF(AT151:AT287,"&gt;0"))=0, "",(COUNTIF(AT151:AT287,"&gt;0")))</f>
        <v>105</v>
      </c>
      <c r="AU150" s="27">
        <f>IF((COUNTIF(AU151:AU287,"&gt;0"))=0, "",(COUNTIF(AU151:AU287,"&gt;0")))</f>
        <v>53</v>
      </c>
      <c r="AV150" s="27">
        <f t="shared" si="9"/>
        <v>101</v>
      </c>
      <c r="AW150" s="27">
        <f t="shared" si="9"/>
        <v>91</v>
      </c>
      <c r="AX150" s="27">
        <f t="shared" si="9"/>
        <v>93</v>
      </c>
      <c r="AY150" s="27">
        <f>IF((COUNTIF(AY151:AY277,"&gt;0"))=0, "",(COUNTIF(AY151:AY277,"&gt;0")))</f>
        <v>99</v>
      </c>
      <c r="AZ150" s="27"/>
    </row>
    <row r="151" spans="38:56" x14ac:dyDescent="0.35">
      <c r="AL151" s="19" t="s">
        <v>301</v>
      </c>
      <c r="AM151">
        <f>COUNTIF($AM8:$AS8,"&gt;=85%")</f>
        <v>3</v>
      </c>
      <c r="AN151">
        <f>COUNTIF($AU8:$BA8,"&gt;=85%")</f>
        <v>5</v>
      </c>
      <c r="AO151">
        <f>COUNTIF($BC8:$BI8,"&gt;=85%")</f>
        <v>1</v>
      </c>
      <c r="AP151">
        <f>COUNTIF($BK8:$BQ8,"&gt;=85%")</f>
        <v>1</v>
      </c>
      <c r="AQ151">
        <f>COUNTIF($BS8:$BY8,"&gt;=85%")</f>
        <v>0</v>
      </c>
      <c r="AR151">
        <f>COUNTIF($CA8:$CG8,"&gt;=85%")</f>
        <v>3</v>
      </c>
      <c r="AS151">
        <f>COUNTIF($CI8:$CO8,"&gt;=85%")</f>
        <v>0</v>
      </c>
      <c r="AT151">
        <f>COUNTIF($CQ8:$CW8,"&gt;=85%")</f>
        <v>2</v>
      </c>
      <c r="AU151">
        <f>COUNTIF($CY8:$DE8,"&gt;=92%")</f>
        <v>0</v>
      </c>
      <c r="AV151">
        <f>COUNTIF($DG8:$DM8,"&gt;=85%")</f>
        <v>2</v>
      </c>
      <c r="AW151">
        <f>COUNTIF($DO8:$DU8,"&gt;=85%")</f>
        <v>1</v>
      </c>
      <c r="AX151">
        <f>COUNTIF($DW8:$EC8,"&gt;=85%")</f>
        <v>4</v>
      </c>
      <c r="AY151">
        <f>COUNTIF($EE8:$EK8,"&gt;=85%")</f>
        <v>2</v>
      </c>
    </row>
    <row r="152" spans="38:56" x14ac:dyDescent="0.35">
      <c r="AL152" s="19" t="s">
        <v>302</v>
      </c>
      <c r="AM152">
        <f t="shared" ref="AM152:AM215" si="10">COUNTIF($AM9:$AS9,"&gt;=85%")</f>
        <v>0</v>
      </c>
      <c r="AN152">
        <f t="shared" ref="AN152:AN215" si="11">COUNTIF($AU9:$BA9,"&gt;=85%")</f>
        <v>0</v>
      </c>
      <c r="AO152">
        <f t="shared" ref="AO152:AO215" si="12">COUNTIF($BC9:$BI9,"&gt;=85%")</f>
        <v>0</v>
      </c>
      <c r="AP152">
        <f t="shared" ref="AP152:AP215" si="13">COUNTIF($BK9:$BQ9,"&gt;=85%")</f>
        <v>0</v>
      </c>
      <c r="AQ152">
        <f t="shared" ref="AQ152:AQ215" si="14">COUNTIF($BS9:$BY9,"&gt;=85%")</f>
        <v>0</v>
      </c>
      <c r="AR152">
        <f t="shared" ref="AR152:AR215" si="15">COUNTIF($CA9:$CG9,"&gt;=85%")</f>
        <v>0</v>
      </c>
      <c r="AS152">
        <f t="shared" ref="AS152:AS215" si="16">COUNTIF($CI9:$CO9,"&gt;=85%")</f>
        <v>0</v>
      </c>
      <c r="AT152">
        <f t="shared" ref="AT152:AT215" si="17">COUNTIF($CQ9:$CW9,"&gt;=85%")</f>
        <v>1</v>
      </c>
      <c r="AU152">
        <f t="shared" ref="AU152:AU215" si="18">COUNTIF($CY9:$DE9,"&gt;=92%")</f>
        <v>0</v>
      </c>
      <c r="AV152">
        <f t="shared" ref="AV152:AV215" si="19">COUNTIF($DG9:$DM9,"&gt;=85%")</f>
        <v>0</v>
      </c>
      <c r="AW152">
        <f t="shared" ref="AW152:AW215" si="20">COUNTIF($DO9:$DU9,"&gt;=85%")</f>
        <v>0</v>
      </c>
      <c r="AX152">
        <f t="shared" ref="AX152:AX215" si="21">COUNTIF($DW9:$EC9,"&gt;=85%")</f>
        <v>0</v>
      </c>
      <c r="AY152">
        <f t="shared" ref="AY152:AY215" si="22">COUNTIF($EE9:$EK9,"&gt;=85%")</f>
        <v>0</v>
      </c>
    </row>
    <row r="153" spans="38:56" x14ac:dyDescent="0.35">
      <c r="AL153" s="19" t="s">
        <v>303</v>
      </c>
      <c r="AM153">
        <f t="shared" si="10"/>
        <v>7</v>
      </c>
      <c r="AN153">
        <f t="shared" si="11"/>
        <v>7</v>
      </c>
      <c r="AO153">
        <f t="shared" si="12"/>
        <v>7</v>
      </c>
      <c r="AP153">
        <f t="shared" si="13"/>
        <v>7</v>
      </c>
      <c r="AQ153">
        <f t="shared" si="14"/>
        <v>5</v>
      </c>
      <c r="AR153">
        <f t="shared" si="15"/>
        <v>7</v>
      </c>
      <c r="AS153">
        <f t="shared" si="16"/>
        <v>6</v>
      </c>
      <c r="AT153">
        <f t="shared" si="17"/>
        <v>7</v>
      </c>
      <c r="AU153">
        <f t="shared" si="18"/>
        <v>1</v>
      </c>
      <c r="AV153">
        <f t="shared" si="19"/>
        <v>5</v>
      </c>
      <c r="AW153">
        <f t="shared" si="20"/>
        <v>6</v>
      </c>
      <c r="AX153">
        <f t="shared" si="21"/>
        <v>7</v>
      </c>
      <c r="AY153">
        <f t="shared" si="22"/>
        <v>5</v>
      </c>
    </row>
    <row r="154" spans="38:56" x14ac:dyDescent="0.35">
      <c r="AL154" s="19" t="s">
        <v>304</v>
      </c>
      <c r="AM154">
        <f t="shared" si="10"/>
        <v>6</v>
      </c>
      <c r="AN154">
        <f t="shared" si="11"/>
        <v>7</v>
      </c>
      <c r="AO154">
        <f t="shared" si="12"/>
        <v>7</v>
      </c>
      <c r="AP154">
        <f t="shared" si="13"/>
        <v>5</v>
      </c>
      <c r="AQ154">
        <f t="shared" si="14"/>
        <v>7</v>
      </c>
      <c r="AR154">
        <f t="shared" si="15"/>
        <v>7</v>
      </c>
      <c r="AS154">
        <f t="shared" si="16"/>
        <v>7</v>
      </c>
      <c r="AT154">
        <f t="shared" si="17"/>
        <v>7</v>
      </c>
      <c r="AU154">
        <f t="shared" si="18"/>
        <v>1</v>
      </c>
      <c r="AV154">
        <f t="shared" si="19"/>
        <v>4</v>
      </c>
      <c r="AW154">
        <f t="shared" si="20"/>
        <v>1</v>
      </c>
      <c r="AX154">
        <f t="shared" si="21"/>
        <v>0</v>
      </c>
      <c r="AY154">
        <f t="shared" si="22"/>
        <v>2</v>
      </c>
      <c r="BD154" s="45">
        <f>123/132</f>
        <v>0.93181818181818177</v>
      </c>
    </row>
    <row r="155" spans="38:56" x14ac:dyDescent="0.35">
      <c r="AL155" s="19" t="s">
        <v>305</v>
      </c>
      <c r="AM155">
        <f t="shared" si="10"/>
        <v>7</v>
      </c>
      <c r="AN155">
        <f t="shared" si="11"/>
        <v>6</v>
      </c>
      <c r="AO155">
        <f t="shared" si="12"/>
        <v>4</v>
      </c>
      <c r="AP155">
        <f t="shared" si="13"/>
        <v>3</v>
      </c>
      <c r="AQ155">
        <f t="shared" si="14"/>
        <v>7</v>
      </c>
      <c r="AR155">
        <f t="shared" si="15"/>
        <v>6</v>
      </c>
      <c r="AS155">
        <f t="shared" si="16"/>
        <v>5</v>
      </c>
      <c r="AT155">
        <f t="shared" si="17"/>
        <v>5</v>
      </c>
      <c r="AU155">
        <f t="shared" si="18"/>
        <v>2</v>
      </c>
      <c r="AV155">
        <f t="shared" si="19"/>
        <v>7</v>
      </c>
      <c r="AW155">
        <f t="shared" si="20"/>
        <v>7</v>
      </c>
      <c r="AX155">
        <f t="shared" si="21"/>
        <v>7</v>
      </c>
      <c r="AY155">
        <f t="shared" si="22"/>
        <v>5</v>
      </c>
    </row>
    <row r="156" spans="38:56" x14ac:dyDescent="0.35">
      <c r="AL156" s="19" t="s">
        <v>306</v>
      </c>
      <c r="AM156">
        <f t="shared" si="10"/>
        <v>7</v>
      </c>
      <c r="AN156">
        <f t="shared" si="11"/>
        <v>7</v>
      </c>
      <c r="AO156">
        <f t="shared" si="12"/>
        <v>7</v>
      </c>
      <c r="AP156">
        <f t="shared" si="13"/>
        <v>4</v>
      </c>
      <c r="AQ156">
        <f t="shared" si="14"/>
        <v>7</v>
      </c>
      <c r="AR156">
        <f t="shared" si="15"/>
        <v>7</v>
      </c>
      <c r="AS156">
        <f t="shared" si="16"/>
        <v>7</v>
      </c>
      <c r="AT156">
        <f t="shared" si="17"/>
        <v>7</v>
      </c>
      <c r="AU156">
        <f t="shared" si="18"/>
        <v>0</v>
      </c>
      <c r="AV156">
        <f t="shared" si="19"/>
        <v>7</v>
      </c>
      <c r="AW156">
        <f t="shared" si="20"/>
        <v>5</v>
      </c>
      <c r="AX156">
        <f t="shared" si="21"/>
        <v>5</v>
      </c>
      <c r="AY156">
        <f t="shared" si="22"/>
        <v>6</v>
      </c>
    </row>
    <row r="157" spans="38:56" x14ac:dyDescent="0.35">
      <c r="AL157" s="19" t="s">
        <v>307</v>
      </c>
      <c r="AM157">
        <f t="shared" si="10"/>
        <v>7</v>
      </c>
      <c r="AN157">
        <f t="shared" si="11"/>
        <v>7</v>
      </c>
      <c r="AO157">
        <f t="shared" si="12"/>
        <v>7</v>
      </c>
      <c r="AP157">
        <f t="shared" si="13"/>
        <v>6</v>
      </c>
      <c r="AQ157">
        <f t="shared" si="14"/>
        <v>7</v>
      </c>
      <c r="AR157">
        <f t="shared" si="15"/>
        <v>7</v>
      </c>
      <c r="AS157">
        <f t="shared" si="16"/>
        <v>7</v>
      </c>
      <c r="AT157">
        <f t="shared" si="17"/>
        <v>7</v>
      </c>
      <c r="AU157">
        <f t="shared" si="18"/>
        <v>1</v>
      </c>
      <c r="AV157">
        <f t="shared" si="19"/>
        <v>7</v>
      </c>
      <c r="AW157">
        <f t="shared" si="20"/>
        <v>6</v>
      </c>
      <c r="AX157">
        <f t="shared" si="21"/>
        <v>6</v>
      </c>
      <c r="AY157">
        <f t="shared" si="22"/>
        <v>6</v>
      </c>
    </row>
    <row r="158" spans="38:56" x14ac:dyDescent="0.35">
      <c r="AL158" s="19" t="s">
        <v>308</v>
      </c>
      <c r="AM158">
        <f t="shared" si="10"/>
        <v>0</v>
      </c>
      <c r="AN158">
        <f>COUNTIF($AU15:$BA15,"&gt;=85%")</f>
        <v>2</v>
      </c>
      <c r="AO158">
        <f t="shared" si="12"/>
        <v>0</v>
      </c>
      <c r="AP158">
        <f t="shared" si="13"/>
        <v>0</v>
      </c>
      <c r="AQ158">
        <f t="shared" si="14"/>
        <v>0</v>
      </c>
      <c r="AR158">
        <f t="shared" si="15"/>
        <v>0</v>
      </c>
      <c r="AS158">
        <f t="shared" si="16"/>
        <v>1</v>
      </c>
      <c r="AT158">
        <f t="shared" si="17"/>
        <v>4</v>
      </c>
      <c r="AU158">
        <f t="shared" si="18"/>
        <v>0</v>
      </c>
      <c r="AV158">
        <f t="shared" si="19"/>
        <v>3</v>
      </c>
      <c r="AW158">
        <f t="shared" si="20"/>
        <v>2</v>
      </c>
      <c r="AX158">
        <f t="shared" si="21"/>
        <v>1</v>
      </c>
      <c r="AY158">
        <f t="shared" si="22"/>
        <v>2</v>
      </c>
    </row>
    <row r="159" spans="38:56" x14ac:dyDescent="0.35">
      <c r="AL159" s="19" t="s">
        <v>309</v>
      </c>
      <c r="AM159">
        <f t="shared" si="10"/>
        <v>7</v>
      </c>
      <c r="AN159">
        <f t="shared" si="11"/>
        <v>7</v>
      </c>
      <c r="AO159">
        <f t="shared" si="12"/>
        <v>7</v>
      </c>
      <c r="AP159">
        <f t="shared" si="13"/>
        <v>5</v>
      </c>
      <c r="AQ159">
        <f t="shared" si="14"/>
        <v>7</v>
      </c>
      <c r="AR159">
        <f t="shared" si="15"/>
        <v>7</v>
      </c>
      <c r="AS159">
        <f t="shared" si="16"/>
        <v>7</v>
      </c>
      <c r="AT159">
        <f t="shared" si="17"/>
        <v>7</v>
      </c>
      <c r="AU159">
        <f t="shared" si="18"/>
        <v>0</v>
      </c>
      <c r="AV159">
        <f t="shared" si="19"/>
        <v>6</v>
      </c>
      <c r="AW159">
        <f t="shared" si="20"/>
        <v>7</v>
      </c>
      <c r="AX159">
        <f t="shared" si="21"/>
        <v>7</v>
      </c>
      <c r="AY159">
        <f t="shared" si="22"/>
        <v>7</v>
      </c>
    </row>
    <row r="160" spans="38:56" x14ac:dyDescent="0.35">
      <c r="AL160" s="19" t="s">
        <v>310</v>
      </c>
      <c r="AM160">
        <f t="shared" si="10"/>
        <v>3</v>
      </c>
      <c r="AN160">
        <f t="shared" si="11"/>
        <v>1</v>
      </c>
      <c r="AO160">
        <f t="shared" si="12"/>
        <v>2</v>
      </c>
      <c r="AP160">
        <f t="shared" si="13"/>
        <v>3</v>
      </c>
      <c r="AQ160">
        <f t="shared" si="14"/>
        <v>1</v>
      </c>
      <c r="AR160">
        <f t="shared" si="15"/>
        <v>3</v>
      </c>
      <c r="AS160">
        <f t="shared" si="16"/>
        <v>0</v>
      </c>
      <c r="AT160">
        <f t="shared" si="17"/>
        <v>3</v>
      </c>
      <c r="AU160">
        <f t="shared" si="18"/>
        <v>0</v>
      </c>
      <c r="AV160">
        <f t="shared" si="19"/>
        <v>5</v>
      </c>
      <c r="AW160">
        <f t="shared" si="20"/>
        <v>4</v>
      </c>
      <c r="AX160">
        <f t="shared" si="21"/>
        <v>3</v>
      </c>
      <c r="AY160">
        <f t="shared" si="22"/>
        <v>2</v>
      </c>
    </row>
    <row r="161" spans="38:51" x14ac:dyDescent="0.35">
      <c r="AL161" s="19" t="s">
        <v>311</v>
      </c>
      <c r="AM161">
        <f t="shared" si="10"/>
        <v>6</v>
      </c>
      <c r="AN161">
        <f t="shared" si="11"/>
        <v>7</v>
      </c>
      <c r="AO161">
        <f t="shared" si="12"/>
        <v>7</v>
      </c>
      <c r="AP161">
        <f t="shared" si="13"/>
        <v>2</v>
      </c>
      <c r="AQ161">
        <f t="shared" si="14"/>
        <v>4</v>
      </c>
      <c r="AR161">
        <f t="shared" si="15"/>
        <v>7</v>
      </c>
      <c r="AS161">
        <f t="shared" si="16"/>
        <v>7</v>
      </c>
      <c r="AT161">
        <f t="shared" si="17"/>
        <v>7</v>
      </c>
      <c r="AU161">
        <f t="shared" si="18"/>
        <v>2</v>
      </c>
      <c r="AV161">
        <f t="shared" si="19"/>
        <v>7</v>
      </c>
      <c r="AW161">
        <f t="shared" si="20"/>
        <v>7</v>
      </c>
      <c r="AX161">
        <f t="shared" si="21"/>
        <v>7</v>
      </c>
      <c r="AY161">
        <f t="shared" si="22"/>
        <v>7</v>
      </c>
    </row>
    <row r="162" spans="38:51" x14ac:dyDescent="0.35">
      <c r="AL162" s="19" t="s">
        <v>312</v>
      </c>
      <c r="AM162">
        <f t="shared" si="10"/>
        <v>7</v>
      </c>
      <c r="AN162">
        <f t="shared" si="11"/>
        <v>7</v>
      </c>
      <c r="AO162">
        <f t="shared" si="12"/>
        <v>7</v>
      </c>
      <c r="AP162">
        <f t="shared" si="13"/>
        <v>4</v>
      </c>
      <c r="AQ162">
        <f t="shared" si="14"/>
        <v>7</v>
      </c>
      <c r="AR162">
        <f t="shared" si="15"/>
        <v>3</v>
      </c>
      <c r="AS162">
        <f t="shared" si="16"/>
        <v>0</v>
      </c>
      <c r="AT162">
        <f t="shared" si="17"/>
        <v>7</v>
      </c>
      <c r="AU162">
        <f t="shared" si="18"/>
        <v>0</v>
      </c>
      <c r="AV162">
        <f t="shared" si="19"/>
        <v>7</v>
      </c>
      <c r="AW162">
        <f t="shared" si="20"/>
        <v>7</v>
      </c>
      <c r="AX162">
        <f t="shared" si="21"/>
        <v>7</v>
      </c>
      <c r="AY162">
        <f t="shared" si="22"/>
        <v>6</v>
      </c>
    </row>
    <row r="163" spans="38:51" x14ac:dyDescent="0.35">
      <c r="AL163" s="19" t="s">
        <v>313</v>
      </c>
      <c r="AM163">
        <f t="shared" si="10"/>
        <v>5</v>
      </c>
      <c r="AN163">
        <f t="shared" si="11"/>
        <v>6</v>
      </c>
      <c r="AO163">
        <f t="shared" si="12"/>
        <v>6</v>
      </c>
      <c r="AP163">
        <f t="shared" si="13"/>
        <v>7</v>
      </c>
      <c r="AQ163">
        <f t="shared" si="14"/>
        <v>6</v>
      </c>
      <c r="AR163">
        <f t="shared" si="15"/>
        <v>7</v>
      </c>
      <c r="AS163">
        <f t="shared" si="16"/>
        <v>7</v>
      </c>
      <c r="AT163">
        <f t="shared" si="17"/>
        <v>7</v>
      </c>
      <c r="AU163">
        <f t="shared" si="18"/>
        <v>7</v>
      </c>
      <c r="AV163">
        <f t="shared" si="19"/>
        <v>7</v>
      </c>
      <c r="AW163">
        <f t="shared" si="20"/>
        <v>7</v>
      </c>
      <c r="AX163">
        <f t="shared" si="21"/>
        <v>7</v>
      </c>
      <c r="AY163">
        <f t="shared" si="22"/>
        <v>7</v>
      </c>
    </row>
    <row r="164" spans="38:51" x14ac:dyDescent="0.35">
      <c r="AL164" s="19" t="s">
        <v>314</v>
      </c>
      <c r="AM164">
        <f t="shared" si="10"/>
        <v>7</v>
      </c>
      <c r="AN164">
        <f t="shared" si="11"/>
        <v>7</v>
      </c>
      <c r="AO164">
        <f t="shared" si="12"/>
        <v>7</v>
      </c>
      <c r="AP164">
        <f t="shared" si="13"/>
        <v>5</v>
      </c>
      <c r="AQ164">
        <f t="shared" si="14"/>
        <v>7</v>
      </c>
      <c r="AR164">
        <f t="shared" si="15"/>
        <v>5</v>
      </c>
      <c r="AS164">
        <f t="shared" si="16"/>
        <v>6</v>
      </c>
      <c r="AT164">
        <f t="shared" si="17"/>
        <v>7</v>
      </c>
      <c r="AU164">
        <f t="shared" si="18"/>
        <v>0</v>
      </c>
      <c r="AV164">
        <f t="shared" si="19"/>
        <v>6</v>
      </c>
      <c r="AW164">
        <f t="shared" si="20"/>
        <v>7</v>
      </c>
      <c r="AX164">
        <f t="shared" si="21"/>
        <v>7</v>
      </c>
      <c r="AY164">
        <f t="shared" si="22"/>
        <v>7</v>
      </c>
    </row>
    <row r="165" spans="38:51" x14ac:dyDescent="0.35">
      <c r="AL165" s="19" t="s">
        <v>315</v>
      </c>
      <c r="AM165">
        <f t="shared" si="10"/>
        <v>7</v>
      </c>
      <c r="AN165">
        <f t="shared" si="11"/>
        <v>7</v>
      </c>
      <c r="AO165">
        <f t="shared" si="12"/>
        <v>7</v>
      </c>
      <c r="AP165">
        <f t="shared" si="13"/>
        <v>3</v>
      </c>
      <c r="AQ165">
        <f t="shared" si="14"/>
        <v>6</v>
      </c>
      <c r="AR165">
        <f t="shared" si="15"/>
        <v>7</v>
      </c>
      <c r="AS165">
        <f t="shared" si="16"/>
        <v>7</v>
      </c>
      <c r="AT165">
        <f t="shared" si="17"/>
        <v>7</v>
      </c>
      <c r="AU165">
        <f t="shared" si="18"/>
        <v>0</v>
      </c>
      <c r="AV165">
        <f t="shared" si="19"/>
        <v>7</v>
      </c>
      <c r="AW165">
        <f t="shared" si="20"/>
        <v>7</v>
      </c>
      <c r="AX165">
        <f t="shared" si="21"/>
        <v>7</v>
      </c>
      <c r="AY165">
        <f t="shared" si="22"/>
        <v>7</v>
      </c>
    </row>
    <row r="166" spans="38:51" x14ac:dyDescent="0.35">
      <c r="AL166" s="19" t="s">
        <v>316</v>
      </c>
      <c r="AM166">
        <f t="shared" si="10"/>
        <v>7</v>
      </c>
      <c r="AN166">
        <f t="shared" si="11"/>
        <v>5</v>
      </c>
      <c r="AO166">
        <f t="shared" si="12"/>
        <v>7</v>
      </c>
      <c r="AP166">
        <f t="shared" si="13"/>
        <v>4</v>
      </c>
      <c r="AQ166">
        <f t="shared" si="14"/>
        <v>3</v>
      </c>
      <c r="AR166">
        <f t="shared" si="15"/>
        <v>7</v>
      </c>
      <c r="AS166">
        <f t="shared" si="16"/>
        <v>7</v>
      </c>
      <c r="AT166">
        <f t="shared" si="17"/>
        <v>7</v>
      </c>
      <c r="AU166">
        <f t="shared" si="18"/>
        <v>4</v>
      </c>
      <c r="AV166">
        <f t="shared" si="19"/>
        <v>7</v>
      </c>
      <c r="AW166">
        <f t="shared" si="20"/>
        <v>6</v>
      </c>
      <c r="AX166">
        <f t="shared" si="21"/>
        <v>6</v>
      </c>
      <c r="AY166">
        <f t="shared" si="22"/>
        <v>6</v>
      </c>
    </row>
    <row r="167" spans="38:51" x14ac:dyDescent="0.35">
      <c r="AL167" s="19" t="s">
        <v>317</v>
      </c>
      <c r="AM167">
        <f t="shared" si="10"/>
        <v>0</v>
      </c>
      <c r="AN167">
        <f t="shared" si="11"/>
        <v>6</v>
      </c>
      <c r="AO167">
        <f t="shared" si="12"/>
        <v>7</v>
      </c>
      <c r="AP167">
        <f t="shared" si="13"/>
        <v>4</v>
      </c>
      <c r="AQ167">
        <f t="shared" si="14"/>
        <v>6</v>
      </c>
      <c r="AR167">
        <f t="shared" si="15"/>
        <v>6</v>
      </c>
      <c r="AS167">
        <f t="shared" si="16"/>
        <v>7</v>
      </c>
      <c r="AT167">
        <f t="shared" si="17"/>
        <v>7</v>
      </c>
      <c r="AU167">
        <f t="shared" si="18"/>
        <v>0</v>
      </c>
      <c r="AV167">
        <f t="shared" si="19"/>
        <v>7</v>
      </c>
      <c r="AW167">
        <f t="shared" si="20"/>
        <v>7</v>
      </c>
      <c r="AX167">
        <f t="shared" si="21"/>
        <v>2</v>
      </c>
      <c r="AY167">
        <f t="shared" si="22"/>
        <v>0</v>
      </c>
    </row>
    <row r="168" spans="38:51" x14ac:dyDescent="0.35">
      <c r="AL168" s="19" t="s">
        <v>318</v>
      </c>
      <c r="AM168">
        <f t="shared" si="10"/>
        <v>7</v>
      </c>
      <c r="AN168">
        <f t="shared" si="11"/>
        <v>7</v>
      </c>
      <c r="AO168">
        <f t="shared" si="12"/>
        <v>7</v>
      </c>
      <c r="AP168">
        <f t="shared" si="13"/>
        <v>5</v>
      </c>
      <c r="AQ168">
        <f t="shared" si="14"/>
        <v>7</v>
      </c>
      <c r="AR168">
        <f t="shared" si="15"/>
        <v>7</v>
      </c>
      <c r="AS168">
        <f t="shared" si="16"/>
        <v>7</v>
      </c>
      <c r="AT168">
        <f t="shared" si="17"/>
        <v>7</v>
      </c>
      <c r="AU168">
        <f t="shared" si="18"/>
        <v>1</v>
      </c>
      <c r="AV168">
        <f t="shared" si="19"/>
        <v>3</v>
      </c>
      <c r="AW168">
        <f t="shared" si="20"/>
        <v>0</v>
      </c>
      <c r="AX168">
        <f t="shared" si="21"/>
        <v>4</v>
      </c>
      <c r="AY168">
        <f t="shared" si="22"/>
        <v>4</v>
      </c>
    </row>
    <row r="169" spans="38:51" x14ac:dyDescent="0.35">
      <c r="AL169" s="19" t="s">
        <v>319</v>
      </c>
      <c r="AM169">
        <f t="shared" si="10"/>
        <v>0</v>
      </c>
      <c r="AN169">
        <f t="shared" si="11"/>
        <v>0</v>
      </c>
      <c r="AO169">
        <f t="shared" si="12"/>
        <v>2</v>
      </c>
      <c r="AP169">
        <f t="shared" si="13"/>
        <v>0</v>
      </c>
      <c r="AQ169">
        <f t="shared" si="14"/>
        <v>0</v>
      </c>
      <c r="AR169">
        <f t="shared" si="15"/>
        <v>0</v>
      </c>
      <c r="AS169">
        <f t="shared" si="16"/>
        <v>0</v>
      </c>
      <c r="AT169">
        <f t="shared" si="17"/>
        <v>0</v>
      </c>
      <c r="AU169">
        <f t="shared" si="18"/>
        <v>0</v>
      </c>
      <c r="AV169">
        <f t="shared" si="19"/>
        <v>1</v>
      </c>
      <c r="AW169">
        <f t="shared" si="20"/>
        <v>0</v>
      </c>
      <c r="AX169">
        <f t="shared" si="21"/>
        <v>0</v>
      </c>
      <c r="AY169">
        <f t="shared" si="22"/>
        <v>0</v>
      </c>
    </row>
    <row r="170" spans="38:51" x14ac:dyDescent="0.35">
      <c r="AL170" s="19" t="s">
        <v>320</v>
      </c>
      <c r="AM170">
        <f t="shared" si="10"/>
        <v>7</v>
      </c>
      <c r="AN170">
        <f t="shared" si="11"/>
        <v>7</v>
      </c>
      <c r="AO170">
        <f t="shared" si="12"/>
        <v>7</v>
      </c>
      <c r="AP170">
        <f t="shared" si="13"/>
        <v>7</v>
      </c>
      <c r="AQ170">
        <f t="shared" si="14"/>
        <v>7</v>
      </c>
      <c r="AR170">
        <f t="shared" si="15"/>
        <v>7</v>
      </c>
      <c r="AS170">
        <f t="shared" si="16"/>
        <v>7</v>
      </c>
      <c r="AT170">
        <f t="shared" si="17"/>
        <v>7</v>
      </c>
      <c r="AU170">
        <f t="shared" si="18"/>
        <v>7</v>
      </c>
      <c r="AV170">
        <f t="shared" si="19"/>
        <v>7</v>
      </c>
      <c r="AW170">
        <f t="shared" si="20"/>
        <v>7</v>
      </c>
      <c r="AX170">
        <f t="shared" si="21"/>
        <v>7</v>
      </c>
      <c r="AY170">
        <f t="shared" si="22"/>
        <v>7</v>
      </c>
    </row>
    <row r="171" spans="38:51" x14ac:dyDescent="0.35">
      <c r="AL171" s="19" t="s">
        <v>321</v>
      </c>
      <c r="AM171">
        <f t="shared" si="10"/>
        <v>7</v>
      </c>
      <c r="AN171">
        <f t="shared" si="11"/>
        <v>7</v>
      </c>
      <c r="AO171">
        <f t="shared" si="12"/>
        <v>7</v>
      </c>
      <c r="AP171">
        <f t="shared" si="13"/>
        <v>6</v>
      </c>
      <c r="AQ171">
        <f t="shared" si="14"/>
        <v>7</v>
      </c>
      <c r="AR171">
        <f t="shared" si="15"/>
        <v>7</v>
      </c>
      <c r="AS171">
        <f t="shared" si="16"/>
        <v>7</v>
      </c>
      <c r="AT171">
        <f t="shared" si="17"/>
        <v>7</v>
      </c>
      <c r="AU171">
        <f t="shared" si="18"/>
        <v>2</v>
      </c>
      <c r="AV171">
        <f t="shared" si="19"/>
        <v>7</v>
      </c>
      <c r="AW171">
        <f t="shared" si="20"/>
        <v>4</v>
      </c>
      <c r="AX171">
        <f t="shared" si="21"/>
        <v>7</v>
      </c>
      <c r="AY171">
        <f t="shared" si="22"/>
        <v>6</v>
      </c>
    </row>
    <row r="172" spans="38:51" x14ac:dyDescent="0.35">
      <c r="AL172" s="19" t="s">
        <v>322</v>
      </c>
      <c r="AM172">
        <f t="shared" si="10"/>
        <v>7</v>
      </c>
      <c r="AN172">
        <f t="shared" si="11"/>
        <v>7</v>
      </c>
      <c r="AO172">
        <f t="shared" si="12"/>
        <v>7</v>
      </c>
      <c r="AP172">
        <f t="shared" si="13"/>
        <v>6</v>
      </c>
      <c r="AQ172">
        <f t="shared" si="14"/>
        <v>7</v>
      </c>
      <c r="AR172">
        <f t="shared" si="15"/>
        <v>7</v>
      </c>
      <c r="AS172">
        <f t="shared" si="16"/>
        <v>6</v>
      </c>
      <c r="AT172">
        <f t="shared" si="17"/>
        <v>7</v>
      </c>
      <c r="AU172">
        <f t="shared" si="18"/>
        <v>2</v>
      </c>
      <c r="AV172">
        <f t="shared" si="19"/>
        <v>7</v>
      </c>
      <c r="AW172">
        <f t="shared" si="20"/>
        <v>7</v>
      </c>
      <c r="AX172">
        <f t="shared" si="21"/>
        <v>6</v>
      </c>
      <c r="AY172">
        <f t="shared" si="22"/>
        <v>6</v>
      </c>
    </row>
    <row r="173" spans="38:51" x14ac:dyDescent="0.35">
      <c r="AL173" s="19" t="s">
        <v>323</v>
      </c>
      <c r="AM173">
        <f t="shared" si="10"/>
        <v>6</v>
      </c>
      <c r="AN173">
        <f t="shared" si="11"/>
        <v>7</v>
      </c>
      <c r="AO173">
        <f t="shared" si="12"/>
        <v>7</v>
      </c>
      <c r="AP173">
        <f t="shared" si="13"/>
        <v>4</v>
      </c>
      <c r="AQ173">
        <f t="shared" si="14"/>
        <v>6</v>
      </c>
      <c r="AR173">
        <f t="shared" si="15"/>
        <v>6</v>
      </c>
      <c r="AS173">
        <f t="shared" si="16"/>
        <v>5</v>
      </c>
      <c r="AT173">
        <f t="shared" si="17"/>
        <v>0</v>
      </c>
      <c r="AU173">
        <f t="shared" si="18"/>
        <v>0</v>
      </c>
      <c r="AV173">
        <f t="shared" si="19"/>
        <v>2</v>
      </c>
      <c r="AW173">
        <f t="shared" si="20"/>
        <v>2</v>
      </c>
      <c r="AX173">
        <f t="shared" si="21"/>
        <v>6</v>
      </c>
      <c r="AY173">
        <f t="shared" si="22"/>
        <v>4</v>
      </c>
    </row>
    <row r="174" spans="38:51" x14ac:dyDescent="0.35">
      <c r="AL174" s="19" t="s">
        <v>324</v>
      </c>
      <c r="AM174">
        <f t="shared" si="10"/>
        <v>7</v>
      </c>
      <c r="AN174">
        <f t="shared" si="11"/>
        <v>6</v>
      </c>
      <c r="AO174">
        <f t="shared" si="12"/>
        <v>3</v>
      </c>
      <c r="AP174">
        <f t="shared" si="13"/>
        <v>0</v>
      </c>
      <c r="AQ174">
        <f t="shared" si="14"/>
        <v>2</v>
      </c>
      <c r="AR174">
        <f t="shared" si="15"/>
        <v>6</v>
      </c>
      <c r="AS174">
        <f t="shared" si="16"/>
        <v>5</v>
      </c>
      <c r="AT174">
        <f t="shared" si="17"/>
        <v>2</v>
      </c>
      <c r="AU174">
        <f t="shared" si="18"/>
        <v>0</v>
      </c>
      <c r="AV174">
        <f t="shared" si="19"/>
        <v>3</v>
      </c>
      <c r="AW174">
        <f t="shared" si="20"/>
        <v>1</v>
      </c>
      <c r="AX174">
        <f t="shared" si="21"/>
        <v>1</v>
      </c>
      <c r="AY174">
        <f t="shared" si="22"/>
        <v>4</v>
      </c>
    </row>
    <row r="175" spans="38:51" x14ac:dyDescent="0.35">
      <c r="AL175" s="19" t="s">
        <v>325</v>
      </c>
      <c r="AM175">
        <f t="shared" si="10"/>
        <v>7</v>
      </c>
      <c r="AN175">
        <f t="shared" si="11"/>
        <v>6</v>
      </c>
      <c r="AO175">
        <f t="shared" si="12"/>
        <v>6</v>
      </c>
      <c r="AP175">
        <f t="shared" si="13"/>
        <v>6</v>
      </c>
      <c r="AQ175">
        <f t="shared" si="14"/>
        <v>6</v>
      </c>
      <c r="AR175">
        <f t="shared" si="15"/>
        <v>7</v>
      </c>
      <c r="AS175">
        <f t="shared" si="16"/>
        <v>6</v>
      </c>
      <c r="AT175">
        <f t="shared" si="17"/>
        <v>6</v>
      </c>
      <c r="AU175">
        <f t="shared" si="18"/>
        <v>6</v>
      </c>
      <c r="AV175">
        <f t="shared" si="19"/>
        <v>6</v>
      </c>
      <c r="AW175">
        <f t="shared" si="20"/>
        <v>5</v>
      </c>
      <c r="AX175">
        <f t="shared" si="21"/>
        <v>7</v>
      </c>
      <c r="AY175">
        <f t="shared" si="22"/>
        <v>5</v>
      </c>
    </row>
    <row r="176" spans="38:51" x14ac:dyDescent="0.35">
      <c r="AL176" s="19" t="s">
        <v>326</v>
      </c>
      <c r="AM176">
        <f t="shared" si="10"/>
        <v>7</v>
      </c>
      <c r="AN176">
        <f t="shared" si="11"/>
        <v>2</v>
      </c>
      <c r="AO176">
        <f t="shared" si="12"/>
        <v>3</v>
      </c>
      <c r="AP176">
        <f t="shared" si="13"/>
        <v>3</v>
      </c>
      <c r="AQ176">
        <f t="shared" si="14"/>
        <v>4</v>
      </c>
      <c r="AR176">
        <f t="shared" si="15"/>
        <v>7</v>
      </c>
      <c r="AS176">
        <f t="shared" si="16"/>
        <v>7</v>
      </c>
      <c r="AT176">
        <f t="shared" si="17"/>
        <v>5</v>
      </c>
      <c r="AU176">
        <f t="shared" si="18"/>
        <v>0</v>
      </c>
      <c r="AV176">
        <f t="shared" si="19"/>
        <v>3</v>
      </c>
      <c r="AW176">
        <f t="shared" si="20"/>
        <v>0</v>
      </c>
      <c r="AX176">
        <f t="shared" si="21"/>
        <v>3</v>
      </c>
      <c r="AY176">
        <f t="shared" si="22"/>
        <v>6</v>
      </c>
    </row>
    <row r="177" spans="38:51" x14ac:dyDescent="0.35">
      <c r="AL177" s="19" t="s">
        <v>327</v>
      </c>
      <c r="AM177">
        <f t="shared" si="10"/>
        <v>7</v>
      </c>
      <c r="AN177">
        <f t="shared" si="11"/>
        <v>7</v>
      </c>
      <c r="AO177">
        <f t="shared" si="12"/>
        <v>7</v>
      </c>
      <c r="AP177">
        <f t="shared" si="13"/>
        <v>3</v>
      </c>
      <c r="AQ177">
        <f t="shared" si="14"/>
        <v>6</v>
      </c>
      <c r="AR177">
        <f t="shared" si="15"/>
        <v>7</v>
      </c>
      <c r="AS177">
        <f t="shared" si="16"/>
        <v>6</v>
      </c>
      <c r="AT177">
        <f t="shared" si="17"/>
        <v>7</v>
      </c>
      <c r="AU177">
        <f t="shared" si="18"/>
        <v>3</v>
      </c>
      <c r="AV177">
        <f t="shared" si="19"/>
        <v>7</v>
      </c>
      <c r="AW177">
        <f t="shared" si="20"/>
        <v>7</v>
      </c>
      <c r="AX177">
        <f t="shared" si="21"/>
        <v>7</v>
      </c>
      <c r="AY177">
        <f t="shared" si="22"/>
        <v>6</v>
      </c>
    </row>
    <row r="178" spans="38:51" x14ac:dyDescent="0.35">
      <c r="AL178" s="19" t="s">
        <v>328</v>
      </c>
      <c r="AM178">
        <f t="shared" si="10"/>
        <v>7</v>
      </c>
      <c r="AN178">
        <f t="shared" si="11"/>
        <v>7</v>
      </c>
      <c r="AO178">
        <f t="shared" si="12"/>
        <v>6</v>
      </c>
      <c r="AP178">
        <f t="shared" si="13"/>
        <v>3</v>
      </c>
      <c r="AQ178">
        <f t="shared" si="14"/>
        <v>5</v>
      </c>
      <c r="AR178">
        <f t="shared" si="15"/>
        <v>7</v>
      </c>
      <c r="AS178">
        <f t="shared" si="16"/>
        <v>4</v>
      </c>
      <c r="AT178">
        <f t="shared" si="17"/>
        <v>0</v>
      </c>
      <c r="AU178">
        <f t="shared" si="18"/>
        <v>0</v>
      </c>
      <c r="AV178">
        <f t="shared" si="19"/>
        <v>4</v>
      </c>
      <c r="AW178">
        <f t="shared" si="20"/>
        <v>0</v>
      </c>
      <c r="AX178">
        <f t="shared" si="21"/>
        <v>1</v>
      </c>
      <c r="AY178">
        <f t="shared" si="22"/>
        <v>2</v>
      </c>
    </row>
    <row r="179" spans="38:51" x14ac:dyDescent="0.35">
      <c r="AL179" s="19" t="s">
        <v>329</v>
      </c>
      <c r="AM179">
        <f t="shared" si="10"/>
        <v>7</v>
      </c>
      <c r="AN179">
        <f t="shared" si="11"/>
        <v>7</v>
      </c>
      <c r="AO179">
        <f t="shared" si="12"/>
        <v>7</v>
      </c>
      <c r="AP179">
        <f t="shared" si="13"/>
        <v>5</v>
      </c>
      <c r="AQ179">
        <f t="shared" si="14"/>
        <v>7</v>
      </c>
      <c r="AR179">
        <f t="shared" si="15"/>
        <v>7</v>
      </c>
      <c r="AS179">
        <f t="shared" si="16"/>
        <v>7</v>
      </c>
      <c r="AT179">
        <f t="shared" si="17"/>
        <v>7</v>
      </c>
      <c r="AU179">
        <f t="shared" si="18"/>
        <v>3</v>
      </c>
      <c r="AV179">
        <f t="shared" si="19"/>
        <v>7</v>
      </c>
      <c r="AW179">
        <f t="shared" si="20"/>
        <v>3</v>
      </c>
      <c r="AX179">
        <f t="shared" si="21"/>
        <v>1</v>
      </c>
      <c r="AY179">
        <f t="shared" si="22"/>
        <v>1</v>
      </c>
    </row>
    <row r="180" spans="38:51" x14ac:dyDescent="0.35">
      <c r="AL180" s="19" t="s">
        <v>330</v>
      </c>
      <c r="AM180">
        <f t="shared" si="10"/>
        <v>0</v>
      </c>
      <c r="AN180">
        <f t="shared" si="11"/>
        <v>1</v>
      </c>
      <c r="AO180">
        <f t="shared" si="12"/>
        <v>2</v>
      </c>
      <c r="AP180">
        <f t="shared" si="13"/>
        <v>0</v>
      </c>
      <c r="AQ180">
        <f t="shared" si="14"/>
        <v>2</v>
      </c>
      <c r="AR180">
        <f t="shared" si="15"/>
        <v>5</v>
      </c>
      <c r="AS180">
        <f t="shared" si="16"/>
        <v>4</v>
      </c>
      <c r="AT180">
        <f t="shared" si="17"/>
        <v>5</v>
      </c>
      <c r="AU180">
        <f t="shared" si="18"/>
        <v>1</v>
      </c>
      <c r="AV180">
        <f t="shared" si="19"/>
        <v>5</v>
      </c>
      <c r="AW180">
        <f t="shared" si="20"/>
        <v>0</v>
      </c>
      <c r="AX180">
        <f t="shared" si="21"/>
        <v>0</v>
      </c>
      <c r="AY180">
        <f t="shared" si="22"/>
        <v>0</v>
      </c>
    </row>
    <row r="181" spans="38:51" x14ac:dyDescent="0.35">
      <c r="AL181" s="19" t="s">
        <v>331</v>
      </c>
      <c r="AM181">
        <f t="shared" si="10"/>
        <v>7</v>
      </c>
      <c r="AN181">
        <f t="shared" si="11"/>
        <v>7</v>
      </c>
      <c r="AO181">
        <f t="shared" si="12"/>
        <v>7</v>
      </c>
      <c r="AP181">
        <f t="shared" si="13"/>
        <v>4</v>
      </c>
      <c r="AQ181">
        <f t="shared" si="14"/>
        <v>7</v>
      </c>
      <c r="AR181">
        <f t="shared" si="15"/>
        <v>7</v>
      </c>
      <c r="AS181">
        <f t="shared" si="16"/>
        <v>4</v>
      </c>
      <c r="AT181">
        <f t="shared" si="17"/>
        <v>6</v>
      </c>
      <c r="AU181">
        <f t="shared" si="18"/>
        <v>0</v>
      </c>
      <c r="AV181">
        <f t="shared" si="19"/>
        <v>4</v>
      </c>
      <c r="AW181">
        <f t="shared" si="20"/>
        <v>2</v>
      </c>
      <c r="AX181">
        <f t="shared" si="21"/>
        <v>2</v>
      </c>
      <c r="AY181">
        <f t="shared" si="22"/>
        <v>3</v>
      </c>
    </row>
    <row r="182" spans="38:51" x14ac:dyDescent="0.35">
      <c r="AL182" s="19" t="s">
        <v>332</v>
      </c>
      <c r="AM182">
        <f t="shared" si="10"/>
        <v>4</v>
      </c>
      <c r="AN182">
        <f t="shared" si="11"/>
        <v>5</v>
      </c>
      <c r="AO182">
        <f t="shared" si="12"/>
        <v>5</v>
      </c>
      <c r="AP182">
        <f t="shared" si="13"/>
        <v>1</v>
      </c>
      <c r="AQ182">
        <f t="shared" si="14"/>
        <v>3</v>
      </c>
      <c r="AR182">
        <f t="shared" si="15"/>
        <v>4</v>
      </c>
      <c r="AS182">
        <f t="shared" si="16"/>
        <v>3</v>
      </c>
      <c r="AT182">
        <f t="shared" si="17"/>
        <v>7</v>
      </c>
      <c r="AU182">
        <f t="shared" si="18"/>
        <v>0</v>
      </c>
      <c r="AV182">
        <f t="shared" si="19"/>
        <v>5</v>
      </c>
      <c r="AW182">
        <f t="shared" si="20"/>
        <v>2</v>
      </c>
      <c r="AX182">
        <f t="shared" si="21"/>
        <v>6</v>
      </c>
      <c r="AY182">
        <f t="shared" si="22"/>
        <v>5</v>
      </c>
    </row>
    <row r="183" spans="38:51" x14ac:dyDescent="0.35">
      <c r="AL183" s="19" t="s">
        <v>333</v>
      </c>
      <c r="AM183">
        <f t="shared" si="10"/>
        <v>0</v>
      </c>
      <c r="AN183">
        <f t="shared" si="11"/>
        <v>0</v>
      </c>
      <c r="AO183">
        <f t="shared" si="12"/>
        <v>4</v>
      </c>
      <c r="AP183">
        <f t="shared" si="13"/>
        <v>4</v>
      </c>
      <c r="AQ183">
        <f t="shared" si="14"/>
        <v>5</v>
      </c>
      <c r="AR183">
        <f t="shared" si="15"/>
        <v>6</v>
      </c>
      <c r="AS183">
        <f t="shared" si="16"/>
        <v>7</v>
      </c>
      <c r="AT183">
        <f t="shared" si="17"/>
        <v>7</v>
      </c>
      <c r="AU183">
        <f t="shared" si="18"/>
        <v>5</v>
      </c>
      <c r="AV183">
        <f t="shared" si="19"/>
        <v>7</v>
      </c>
      <c r="AW183">
        <f t="shared" si="20"/>
        <v>5</v>
      </c>
      <c r="AX183">
        <f t="shared" si="21"/>
        <v>3</v>
      </c>
      <c r="AY183">
        <f t="shared" si="22"/>
        <v>4</v>
      </c>
    </row>
    <row r="184" spans="38:51" x14ac:dyDescent="0.35">
      <c r="AL184" s="19" t="s">
        <v>334</v>
      </c>
      <c r="AM184">
        <f t="shared" si="10"/>
        <v>7</v>
      </c>
      <c r="AN184">
        <f t="shared" si="11"/>
        <v>7</v>
      </c>
      <c r="AO184">
        <f t="shared" si="12"/>
        <v>7</v>
      </c>
      <c r="AP184">
        <f t="shared" si="13"/>
        <v>4</v>
      </c>
      <c r="AQ184">
        <f t="shared" si="14"/>
        <v>7</v>
      </c>
      <c r="AR184">
        <f t="shared" si="15"/>
        <v>7</v>
      </c>
      <c r="AS184">
        <f t="shared" si="16"/>
        <v>7</v>
      </c>
      <c r="AT184">
        <f t="shared" si="17"/>
        <v>7</v>
      </c>
      <c r="AU184">
        <f t="shared" si="18"/>
        <v>1</v>
      </c>
      <c r="AV184">
        <f t="shared" si="19"/>
        <v>7</v>
      </c>
      <c r="AW184">
        <f t="shared" si="20"/>
        <v>7</v>
      </c>
      <c r="AX184">
        <f t="shared" si="21"/>
        <v>7</v>
      </c>
      <c r="AY184">
        <f t="shared" si="22"/>
        <v>7</v>
      </c>
    </row>
    <row r="185" spans="38:51" x14ac:dyDescent="0.35">
      <c r="AL185" s="19" t="s">
        <v>335</v>
      </c>
      <c r="AM185">
        <f t="shared" si="10"/>
        <v>7</v>
      </c>
      <c r="AN185">
        <f t="shared" si="11"/>
        <v>7</v>
      </c>
      <c r="AO185">
        <f t="shared" si="12"/>
        <v>7</v>
      </c>
      <c r="AP185">
        <f t="shared" si="13"/>
        <v>5</v>
      </c>
      <c r="AQ185">
        <f t="shared" si="14"/>
        <v>7</v>
      </c>
      <c r="AR185">
        <f t="shared" si="15"/>
        <v>7</v>
      </c>
      <c r="AS185">
        <f t="shared" si="16"/>
        <v>7</v>
      </c>
      <c r="AT185">
        <f t="shared" si="17"/>
        <v>7</v>
      </c>
      <c r="AU185">
        <f t="shared" si="18"/>
        <v>0</v>
      </c>
      <c r="AV185">
        <f t="shared" si="19"/>
        <v>7</v>
      </c>
      <c r="AW185">
        <f t="shared" si="20"/>
        <v>6</v>
      </c>
      <c r="AX185">
        <f t="shared" si="21"/>
        <v>7</v>
      </c>
      <c r="AY185">
        <f t="shared" si="22"/>
        <v>7</v>
      </c>
    </row>
    <row r="186" spans="38:51" x14ac:dyDescent="0.35">
      <c r="AL186" s="19" t="s">
        <v>336</v>
      </c>
      <c r="AM186">
        <f t="shared" si="10"/>
        <v>1</v>
      </c>
      <c r="AN186">
        <f t="shared" si="11"/>
        <v>0</v>
      </c>
      <c r="AO186">
        <f t="shared" si="12"/>
        <v>0</v>
      </c>
      <c r="AP186">
        <f t="shared" si="13"/>
        <v>0</v>
      </c>
      <c r="AQ186">
        <f t="shared" si="14"/>
        <v>0</v>
      </c>
      <c r="AR186">
        <f t="shared" si="15"/>
        <v>0</v>
      </c>
      <c r="AS186">
        <f t="shared" si="16"/>
        <v>3</v>
      </c>
      <c r="AT186">
        <f t="shared" si="17"/>
        <v>0</v>
      </c>
      <c r="AU186">
        <f t="shared" si="18"/>
        <v>0</v>
      </c>
      <c r="AV186">
        <f t="shared" si="19"/>
        <v>0</v>
      </c>
      <c r="AW186">
        <f t="shared" si="20"/>
        <v>0</v>
      </c>
      <c r="AX186">
        <f t="shared" si="21"/>
        <v>0</v>
      </c>
      <c r="AY186">
        <f t="shared" si="22"/>
        <v>0</v>
      </c>
    </row>
    <row r="187" spans="38:51" x14ac:dyDescent="0.35">
      <c r="AL187" s="19" t="s">
        <v>337</v>
      </c>
      <c r="AM187">
        <f t="shared" si="10"/>
        <v>1</v>
      </c>
      <c r="AN187">
        <f t="shared" si="11"/>
        <v>2</v>
      </c>
      <c r="AO187">
        <f t="shared" si="12"/>
        <v>4</v>
      </c>
      <c r="AP187">
        <f t="shared" si="13"/>
        <v>0</v>
      </c>
      <c r="AQ187">
        <f t="shared" si="14"/>
        <v>2</v>
      </c>
      <c r="AR187">
        <f t="shared" si="15"/>
        <v>5</v>
      </c>
      <c r="AS187">
        <f t="shared" si="16"/>
        <v>0</v>
      </c>
      <c r="AT187">
        <f t="shared" si="17"/>
        <v>0</v>
      </c>
      <c r="AU187">
        <f t="shared" si="18"/>
        <v>0</v>
      </c>
      <c r="AV187">
        <f t="shared" si="19"/>
        <v>0</v>
      </c>
      <c r="AW187">
        <f t="shared" si="20"/>
        <v>0</v>
      </c>
      <c r="AX187">
        <f t="shared" si="21"/>
        <v>0</v>
      </c>
      <c r="AY187">
        <f t="shared" si="22"/>
        <v>1</v>
      </c>
    </row>
    <row r="188" spans="38:51" x14ac:dyDescent="0.35">
      <c r="AL188" s="19" t="s">
        <v>338</v>
      </c>
      <c r="AM188">
        <f t="shared" si="10"/>
        <v>1</v>
      </c>
      <c r="AN188">
        <f t="shared" si="11"/>
        <v>4</v>
      </c>
      <c r="AO188">
        <f t="shared" si="12"/>
        <v>4</v>
      </c>
      <c r="AP188">
        <f t="shared" si="13"/>
        <v>0</v>
      </c>
      <c r="AQ188">
        <f t="shared" si="14"/>
        <v>0</v>
      </c>
      <c r="AR188">
        <f t="shared" si="15"/>
        <v>1</v>
      </c>
      <c r="AS188">
        <f t="shared" si="16"/>
        <v>0</v>
      </c>
      <c r="AT188">
        <f t="shared" si="17"/>
        <v>0</v>
      </c>
      <c r="AU188">
        <f t="shared" si="18"/>
        <v>0</v>
      </c>
      <c r="AV188">
        <f t="shared" si="19"/>
        <v>1</v>
      </c>
      <c r="AW188">
        <f t="shared" si="20"/>
        <v>1</v>
      </c>
      <c r="AX188">
        <f t="shared" si="21"/>
        <v>0</v>
      </c>
      <c r="AY188">
        <f t="shared" si="22"/>
        <v>6</v>
      </c>
    </row>
    <row r="189" spans="38:51" x14ac:dyDescent="0.35">
      <c r="AL189" s="19" t="s">
        <v>339</v>
      </c>
      <c r="AM189">
        <f t="shared" si="10"/>
        <v>0</v>
      </c>
      <c r="AN189">
        <f t="shared" si="11"/>
        <v>0</v>
      </c>
      <c r="AO189">
        <f t="shared" si="12"/>
        <v>0</v>
      </c>
      <c r="AP189">
        <f t="shared" si="13"/>
        <v>5</v>
      </c>
      <c r="AQ189">
        <f t="shared" si="14"/>
        <v>7</v>
      </c>
      <c r="AR189">
        <f t="shared" si="15"/>
        <v>7</v>
      </c>
      <c r="AS189">
        <f t="shared" si="16"/>
        <v>3</v>
      </c>
      <c r="AT189">
        <f t="shared" si="17"/>
        <v>5</v>
      </c>
      <c r="AU189">
        <f t="shared" si="18"/>
        <v>0</v>
      </c>
      <c r="AV189">
        <f t="shared" si="19"/>
        <v>0</v>
      </c>
      <c r="AW189">
        <f t="shared" si="20"/>
        <v>0</v>
      </c>
      <c r="AX189">
        <f t="shared" si="21"/>
        <v>0</v>
      </c>
      <c r="AY189">
        <f t="shared" si="22"/>
        <v>0</v>
      </c>
    </row>
    <row r="190" spans="38:51" x14ac:dyDescent="0.35">
      <c r="AL190" s="19" t="s">
        <v>340</v>
      </c>
      <c r="AM190">
        <f t="shared" si="10"/>
        <v>5</v>
      </c>
      <c r="AN190">
        <f t="shared" si="11"/>
        <v>7</v>
      </c>
      <c r="AO190">
        <f t="shared" si="12"/>
        <v>6</v>
      </c>
      <c r="AP190">
        <f t="shared" si="13"/>
        <v>5</v>
      </c>
      <c r="AQ190">
        <f t="shared" si="14"/>
        <v>6</v>
      </c>
      <c r="AR190">
        <f t="shared" si="15"/>
        <v>7</v>
      </c>
      <c r="AS190">
        <f t="shared" si="16"/>
        <v>7</v>
      </c>
      <c r="AT190">
        <f t="shared" si="17"/>
        <v>7</v>
      </c>
      <c r="AU190">
        <f t="shared" si="18"/>
        <v>0</v>
      </c>
      <c r="AV190">
        <f t="shared" si="19"/>
        <v>0</v>
      </c>
      <c r="AW190">
        <f t="shared" si="20"/>
        <v>5</v>
      </c>
      <c r="AX190">
        <f t="shared" si="21"/>
        <v>6</v>
      </c>
      <c r="AY190">
        <f t="shared" si="22"/>
        <v>6</v>
      </c>
    </row>
    <row r="191" spans="38:51" x14ac:dyDescent="0.35">
      <c r="AL191" s="19" t="s">
        <v>341</v>
      </c>
      <c r="AM191">
        <f t="shared" si="10"/>
        <v>3</v>
      </c>
      <c r="AN191">
        <f t="shared" si="11"/>
        <v>5</v>
      </c>
      <c r="AO191">
        <f t="shared" si="12"/>
        <v>5</v>
      </c>
      <c r="AP191">
        <f t="shared" si="13"/>
        <v>1</v>
      </c>
      <c r="AQ191">
        <f t="shared" si="14"/>
        <v>4</v>
      </c>
      <c r="AR191">
        <f t="shared" si="15"/>
        <v>0</v>
      </c>
      <c r="AS191">
        <f t="shared" si="16"/>
        <v>0</v>
      </c>
      <c r="AT191">
        <f t="shared" si="17"/>
        <v>2</v>
      </c>
      <c r="AU191">
        <f t="shared" si="18"/>
        <v>0</v>
      </c>
      <c r="AV191">
        <f t="shared" si="19"/>
        <v>0</v>
      </c>
      <c r="AW191">
        <f t="shared" si="20"/>
        <v>0</v>
      </c>
      <c r="AX191">
        <f t="shared" si="21"/>
        <v>0</v>
      </c>
      <c r="AY191">
        <f t="shared" si="22"/>
        <v>0</v>
      </c>
    </row>
    <row r="192" spans="38:51" x14ac:dyDescent="0.35">
      <c r="AL192" s="19" t="s">
        <v>342</v>
      </c>
      <c r="AM192">
        <f t="shared" si="10"/>
        <v>2</v>
      </c>
      <c r="AN192">
        <f t="shared" si="11"/>
        <v>6</v>
      </c>
      <c r="AO192">
        <f t="shared" si="12"/>
        <v>7</v>
      </c>
      <c r="AP192">
        <f t="shared" si="13"/>
        <v>4</v>
      </c>
      <c r="AQ192">
        <f t="shared" si="14"/>
        <v>6</v>
      </c>
      <c r="AR192">
        <f t="shared" si="15"/>
        <v>5</v>
      </c>
      <c r="AS192">
        <f t="shared" si="16"/>
        <v>7</v>
      </c>
      <c r="AT192">
        <f t="shared" si="17"/>
        <v>6</v>
      </c>
      <c r="AU192">
        <f t="shared" si="18"/>
        <v>2</v>
      </c>
      <c r="AV192">
        <f t="shared" si="19"/>
        <v>4</v>
      </c>
      <c r="AW192">
        <f t="shared" si="20"/>
        <v>0</v>
      </c>
      <c r="AX192">
        <f t="shared" si="21"/>
        <v>0</v>
      </c>
      <c r="AY192">
        <f t="shared" si="22"/>
        <v>3</v>
      </c>
    </row>
    <row r="193" spans="38:51" x14ac:dyDescent="0.35">
      <c r="AL193" s="19" t="s">
        <v>343</v>
      </c>
      <c r="AM193">
        <f t="shared" si="10"/>
        <v>7</v>
      </c>
      <c r="AN193">
        <f t="shared" si="11"/>
        <v>7</v>
      </c>
      <c r="AO193">
        <f t="shared" si="12"/>
        <v>7</v>
      </c>
      <c r="AP193">
        <f t="shared" si="13"/>
        <v>5</v>
      </c>
      <c r="AQ193">
        <f t="shared" si="14"/>
        <v>7</v>
      </c>
      <c r="AR193">
        <f t="shared" si="15"/>
        <v>5</v>
      </c>
      <c r="AS193">
        <f t="shared" si="16"/>
        <v>7</v>
      </c>
      <c r="AT193">
        <f t="shared" si="17"/>
        <v>6</v>
      </c>
      <c r="AU193">
        <f t="shared" si="18"/>
        <v>1</v>
      </c>
      <c r="AV193">
        <f t="shared" si="19"/>
        <v>6</v>
      </c>
      <c r="AW193">
        <f t="shared" si="20"/>
        <v>5</v>
      </c>
      <c r="AX193">
        <f t="shared" si="21"/>
        <v>4</v>
      </c>
      <c r="AY193">
        <f t="shared" si="22"/>
        <v>4</v>
      </c>
    </row>
    <row r="194" spans="38:51" x14ac:dyDescent="0.35">
      <c r="AL194" s="19" t="s">
        <v>344</v>
      </c>
      <c r="AM194">
        <f t="shared" si="10"/>
        <v>7</v>
      </c>
      <c r="AN194">
        <f t="shared" si="11"/>
        <v>7</v>
      </c>
      <c r="AO194">
        <f t="shared" si="12"/>
        <v>7</v>
      </c>
      <c r="AP194">
        <f t="shared" si="13"/>
        <v>5</v>
      </c>
      <c r="AQ194">
        <f t="shared" si="14"/>
        <v>7</v>
      </c>
      <c r="AR194">
        <f t="shared" si="15"/>
        <v>7</v>
      </c>
      <c r="AS194">
        <f t="shared" si="16"/>
        <v>7</v>
      </c>
      <c r="AT194">
        <f t="shared" si="17"/>
        <v>7</v>
      </c>
      <c r="AU194">
        <f t="shared" si="18"/>
        <v>3</v>
      </c>
      <c r="AV194">
        <f t="shared" si="19"/>
        <v>7</v>
      </c>
      <c r="AW194">
        <f t="shared" si="20"/>
        <v>5</v>
      </c>
      <c r="AX194">
        <f t="shared" si="21"/>
        <v>7</v>
      </c>
      <c r="AY194">
        <f t="shared" si="22"/>
        <v>7</v>
      </c>
    </row>
    <row r="195" spans="38:51" x14ac:dyDescent="0.35">
      <c r="AL195" s="19" t="s">
        <v>345</v>
      </c>
      <c r="AM195">
        <f t="shared" si="10"/>
        <v>7</v>
      </c>
      <c r="AN195">
        <f t="shared" si="11"/>
        <v>7</v>
      </c>
      <c r="AO195">
        <f t="shared" si="12"/>
        <v>7</v>
      </c>
      <c r="AP195">
        <f t="shared" si="13"/>
        <v>7</v>
      </c>
      <c r="AQ195">
        <f t="shared" si="14"/>
        <v>7</v>
      </c>
      <c r="AR195">
        <f t="shared" si="15"/>
        <v>7</v>
      </c>
      <c r="AS195">
        <f t="shared" si="16"/>
        <v>7</v>
      </c>
      <c r="AT195">
        <f t="shared" si="17"/>
        <v>7</v>
      </c>
      <c r="AU195">
        <f t="shared" si="18"/>
        <v>3</v>
      </c>
      <c r="AV195">
        <f t="shared" si="19"/>
        <v>7</v>
      </c>
      <c r="AW195">
        <f t="shared" si="20"/>
        <v>7</v>
      </c>
      <c r="AX195">
        <f t="shared" si="21"/>
        <v>7</v>
      </c>
      <c r="AY195">
        <f t="shared" si="22"/>
        <v>7</v>
      </c>
    </row>
    <row r="196" spans="38:51" x14ac:dyDescent="0.35">
      <c r="AL196" s="19" t="s">
        <v>346</v>
      </c>
      <c r="AM196">
        <f t="shared" si="10"/>
        <v>1</v>
      </c>
      <c r="AN196">
        <f t="shared" si="11"/>
        <v>7</v>
      </c>
      <c r="AO196">
        <f t="shared" si="12"/>
        <v>7</v>
      </c>
      <c r="AP196">
        <f t="shared" si="13"/>
        <v>6</v>
      </c>
      <c r="AQ196">
        <f t="shared" si="14"/>
        <v>7</v>
      </c>
      <c r="AR196">
        <f t="shared" si="15"/>
        <v>7</v>
      </c>
      <c r="AS196">
        <f t="shared" si="16"/>
        <v>7</v>
      </c>
      <c r="AT196">
        <f t="shared" si="17"/>
        <v>7</v>
      </c>
      <c r="AU196">
        <f t="shared" si="18"/>
        <v>0</v>
      </c>
      <c r="AV196">
        <f t="shared" si="19"/>
        <v>0</v>
      </c>
      <c r="AW196">
        <f t="shared" si="20"/>
        <v>0</v>
      </c>
      <c r="AX196">
        <f t="shared" si="21"/>
        <v>0</v>
      </c>
      <c r="AY196">
        <f t="shared" si="22"/>
        <v>0</v>
      </c>
    </row>
    <row r="197" spans="38:51" x14ac:dyDescent="0.35">
      <c r="AL197" s="19" t="s">
        <v>347</v>
      </c>
      <c r="AM197">
        <f t="shared" si="10"/>
        <v>7</v>
      </c>
      <c r="AN197">
        <f t="shared" si="11"/>
        <v>7</v>
      </c>
      <c r="AO197">
        <f t="shared" si="12"/>
        <v>6</v>
      </c>
      <c r="AP197">
        <f t="shared" si="13"/>
        <v>3</v>
      </c>
      <c r="AQ197">
        <f t="shared" si="14"/>
        <v>5</v>
      </c>
      <c r="AR197">
        <f t="shared" si="15"/>
        <v>7</v>
      </c>
      <c r="AS197">
        <f t="shared" si="16"/>
        <v>7</v>
      </c>
      <c r="AT197">
        <f t="shared" si="17"/>
        <v>7</v>
      </c>
      <c r="AU197">
        <f t="shared" si="18"/>
        <v>0</v>
      </c>
      <c r="AV197">
        <f t="shared" si="19"/>
        <v>5</v>
      </c>
      <c r="AW197">
        <f t="shared" si="20"/>
        <v>6</v>
      </c>
      <c r="AX197">
        <f t="shared" si="21"/>
        <v>7</v>
      </c>
      <c r="AY197">
        <f t="shared" si="22"/>
        <v>7</v>
      </c>
    </row>
    <row r="198" spans="38:51" x14ac:dyDescent="0.35">
      <c r="AL198" s="19" t="s">
        <v>348</v>
      </c>
      <c r="AM198">
        <f t="shared" si="10"/>
        <v>7</v>
      </c>
      <c r="AN198">
        <f t="shared" si="11"/>
        <v>7</v>
      </c>
      <c r="AO198">
        <f t="shared" si="12"/>
        <v>7</v>
      </c>
      <c r="AP198">
        <f t="shared" si="13"/>
        <v>3</v>
      </c>
      <c r="AQ198">
        <f t="shared" si="14"/>
        <v>1</v>
      </c>
      <c r="AR198">
        <f t="shared" si="15"/>
        <v>7</v>
      </c>
      <c r="AS198">
        <f t="shared" si="16"/>
        <v>7</v>
      </c>
      <c r="AT198">
        <f t="shared" si="17"/>
        <v>7</v>
      </c>
      <c r="AU198">
        <f t="shared" si="18"/>
        <v>2</v>
      </c>
      <c r="AV198">
        <f t="shared" si="19"/>
        <v>7</v>
      </c>
      <c r="AW198">
        <f t="shared" si="20"/>
        <v>7</v>
      </c>
      <c r="AX198">
        <f t="shared" si="21"/>
        <v>7</v>
      </c>
      <c r="AY198">
        <f t="shared" si="22"/>
        <v>7</v>
      </c>
    </row>
    <row r="199" spans="38:51" x14ac:dyDescent="0.35">
      <c r="AL199" s="19" t="s">
        <v>349</v>
      </c>
      <c r="AM199">
        <f t="shared" si="10"/>
        <v>7</v>
      </c>
      <c r="AN199">
        <f t="shared" si="11"/>
        <v>7</v>
      </c>
      <c r="AO199">
        <f t="shared" si="12"/>
        <v>7</v>
      </c>
      <c r="AP199">
        <f t="shared" si="13"/>
        <v>7</v>
      </c>
      <c r="AQ199">
        <f t="shared" si="14"/>
        <v>7</v>
      </c>
      <c r="AR199">
        <f t="shared" si="15"/>
        <v>7</v>
      </c>
      <c r="AS199">
        <f t="shared" si="16"/>
        <v>7</v>
      </c>
      <c r="AT199">
        <f t="shared" si="17"/>
        <v>7</v>
      </c>
      <c r="AU199">
        <f t="shared" si="18"/>
        <v>6</v>
      </c>
      <c r="AV199">
        <f t="shared" si="19"/>
        <v>7</v>
      </c>
      <c r="AW199">
        <f t="shared" si="20"/>
        <v>5</v>
      </c>
      <c r="AX199">
        <f t="shared" si="21"/>
        <v>5</v>
      </c>
      <c r="AY199">
        <f t="shared" si="22"/>
        <v>6</v>
      </c>
    </row>
    <row r="200" spans="38:51" x14ac:dyDescent="0.35">
      <c r="AL200" s="19" t="s">
        <v>350</v>
      </c>
      <c r="AM200">
        <f t="shared" si="10"/>
        <v>0</v>
      </c>
      <c r="AN200">
        <f t="shared" si="11"/>
        <v>6</v>
      </c>
      <c r="AO200">
        <f t="shared" si="12"/>
        <v>5</v>
      </c>
      <c r="AP200">
        <f t="shared" si="13"/>
        <v>1</v>
      </c>
      <c r="AQ200">
        <f t="shared" si="14"/>
        <v>4</v>
      </c>
      <c r="AR200">
        <f t="shared" si="15"/>
        <v>7</v>
      </c>
      <c r="AS200">
        <f t="shared" si="16"/>
        <v>5</v>
      </c>
      <c r="AT200">
        <f t="shared" si="17"/>
        <v>7</v>
      </c>
      <c r="AU200">
        <f t="shared" si="18"/>
        <v>0</v>
      </c>
      <c r="AV200">
        <f t="shared" si="19"/>
        <v>2</v>
      </c>
      <c r="AW200">
        <f t="shared" si="20"/>
        <v>0</v>
      </c>
      <c r="AX200">
        <f t="shared" si="21"/>
        <v>4</v>
      </c>
      <c r="AY200">
        <f t="shared" si="22"/>
        <v>5</v>
      </c>
    </row>
    <row r="201" spans="38:51" x14ac:dyDescent="0.35">
      <c r="AL201" s="19" t="s">
        <v>351</v>
      </c>
      <c r="AM201">
        <f t="shared" si="10"/>
        <v>2</v>
      </c>
      <c r="AN201">
        <f t="shared" si="11"/>
        <v>7</v>
      </c>
      <c r="AO201">
        <f t="shared" si="12"/>
        <v>7</v>
      </c>
      <c r="AP201">
        <f t="shared" si="13"/>
        <v>7</v>
      </c>
      <c r="AQ201">
        <f t="shared" si="14"/>
        <v>7</v>
      </c>
      <c r="AR201">
        <f t="shared" si="15"/>
        <v>7</v>
      </c>
      <c r="AS201">
        <f t="shared" si="16"/>
        <v>7</v>
      </c>
      <c r="AT201">
        <f t="shared" si="17"/>
        <v>7</v>
      </c>
      <c r="AU201">
        <f t="shared" si="18"/>
        <v>0</v>
      </c>
      <c r="AV201">
        <f t="shared" si="19"/>
        <v>6</v>
      </c>
      <c r="AW201">
        <f t="shared" si="20"/>
        <v>5</v>
      </c>
      <c r="AX201">
        <f t="shared" si="21"/>
        <v>2</v>
      </c>
      <c r="AY201">
        <f t="shared" si="22"/>
        <v>0</v>
      </c>
    </row>
    <row r="202" spans="38:51" x14ac:dyDescent="0.35">
      <c r="AL202" s="19" t="s">
        <v>352</v>
      </c>
      <c r="AM202">
        <f t="shared" si="10"/>
        <v>6</v>
      </c>
      <c r="AN202">
        <f t="shared" si="11"/>
        <v>7</v>
      </c>
      <c r="AO202">
        <f t="shared" si="12"/>
        <v>7</v>
      </c>
      <c r="AP202">
        <f t="shared" si="13"/>
        <v>6</v>
      </c>
      <c r="AQ202">
        <f t="shared" si="14"/>
        <v>7</v>
      </c>
      <c r="AR202">
        <f t="shared" si="15"/>
        <v>7</v>
      </c>
      <c r="AS202">
        <f t="shared" si="16"/>
        <v>7</v>
      </c>
      <c r="AT202">
        <f t="shared" si="17"/>
        <v>7</v>
      </c>
      <c r="AU202">
        <f t="shared" si="18"/>
        <v>1</v>
      </c>
      <c r="AV202">
        <f t="shared" si="19"/>
        <v>7</v>
      </c>
      <c r="AW202">
        <f t="shared" si="20"/>
        <v>5</v>
      </c>
      <c r="AX202">
        <f t="shared" si="21"/>
        <v>7</v>
      </c>
      <c r="AY202">
        <f t="shared" si="22"/>
        <v>7</v>
      </c>
    </row>
    <row r="203" spans="38:51" x14ac:dyDescent="0.35">
      <c r="AL203" s="19" t="s">
        <v>353</v>
      </c>
      <c r="AM203">
        <f t="shared" si="10"/>
        <v>6</v>
      </c>
      <c r="AN203">
        <f t="shared" si="11"/>
        <v>7</v>
      </c>
      <c r="AO203">
        <f t="shared" si="12"/>
        <v>7</v>
      </c>
      <c r="AP203">
        <f t="shared" si="13"/>
        <v>1</v>
      </c>
      <c r="AQ203">
        <f t="shared" si="14"/>
        <v>0</v>
      </c>
      <c r="AR203">
        <f t="shared" si="15"/>
        <v>4</v>
      </c>
      <c r="AS203">
        <f t="shared" si="16"/>
        <v>2</v>
      </c>
      <c r="AT203">
        <f t="shared" si="17"/>
        <v>1</v>
      </c>
      <c r="AU203">
        <f t="shared" si="18"/>
        <v>0</v>
      </c>
      <c r="AV203">
        <f t="shared" si="19"/>
        <v>0</v>
      </c>
      <c r="AW203">
        <f t="shared" si="20"/>
        <v>1</v>
      </c>
      <c r="AX203">
        <f t="shared" si="21"/>
        <v>4</v>
      </c>
      <c r="AY203">
        <f t="shared" si="22"/>
        <v>2</v>
      </c>
    </row>
    <row r="204" spans="38:51" x14ac:dyDescent="0.35">
      <c r="AL204" s="19" t="s">
        <v>354</v>
      </c>
      <c r="AM204">
        <f t="shared" si="10"/>
        <v>5</v>
      </c>
      <c r="AN204">
        <f t="shared" si="11"/>
        <v>7</v>
      </c>
      <c r="AO204">
        <f t="shared" si="12"/>
        <v>7</v>
      </c>
      <c r="AP204">
        <f t="shared" si="13"/>
        <v>5</v>
      </c>
      <c r="AQ204">
        <f t="shared" si="14"/>
        <v>6</v>
      </c>
      <c r="AR204">
        <f t="shared" si="15"/>
        <v>6</v>
      </c>
      <c r="AS204">
        <f t="shared" si="16"/>
        <v>6</v>
      </c>
      <c r="AT204">
        <f t="shared" si="17"/>
        <v>7</v>
      </c>
      <c r="AU204">
        <f t="shared" si="18"/>
        <v>0</v>
      </c>
      <c r="AV204">
        <f t="shared" si="19"/>
        <v>2</v>
      </c>
      <c r="AW204">
        <f t="shared" si="20"/>
        <v>1</v>
      </c>
      <c r="AX204">
        <f t="shared" si="21"/>
        <v>0</v>
      </c>
      <c r="AY204">
        <f t="shared" si="22"/>
        <v>5</v>
      </c>
    </row>
    <row r="205" spans="38:51" x14ac:dyDescent="0.35">
      <c r="AL205" s="19" t="s">
        <v>355</v>
      </c>
      <c r="AM205">
        <f t="shared" si="10"/>
        <v>0</v>
      </c>
      <c r="AN205">
        <f t="shared" si="11"/>
        <v>4</v>
      </c>
      <c r="AO205">
        <f t="shared" si="12"/>
        <v>4</v>
      </c>
      <c r="AP205">
        <f t="shared" si="13"/>
        <v>0</v>
      </c>
      <c r="AQ205">
        <f t="shared" si="14"/>
        <v>2</v>
      </c>
      <c r="AR205">
        <f t="shared" si="15"/>
        <v>6</v>
      </c>
      <c r="AS205">
        <f t="shared" si="16"/>
        <v>0</v>
      </c>
      <c r="AT205">
        <f t="shared" si="17"/>
        <v>2</v>
      </c>
      <c r="AU205">
        <f t="shared" si="18"/>
        <v>0</v>
      </c>
      <c r="AV205">
        <f t="shared" si="19"/>
        <v>1</v>
      </c>
      <c r="AW205">
        <f t="shared" si="20"/>
        <v>0</v>
      </c>
      <c r="AX205">
        <f t="shared" si="21"/>
        <v>0</v>
      </c>
      <c r="AY205">
        <f t="shared" si="22"/>
        <v>3</v>
      </c>
    </row>
    <row r="206" spans="38:51" x14ac:dyDescent="0.35">
      <c r="AL206" s="19" t="s">
        <v>356</v>
      </c>
      <c r="AM206">
        <f t="shared" si="10"/>
        <v>7</v>
      </c>
      <c r="AN206">
        <f t="shared" si="11"/>
        <v>7</v>
      </c>
      <c r="AO206">
        <f t="shared" si="12"/>
        <v>6</v>
      </c>
      <c r="AP206">
        <f t="shared" si="13"/>
        <v>4</v>
      </c>
      <c r="AQ206">
        <f t="shared" si="14"/>
        <v>7</v>
      </c>
      <c r="AR206">
        <f t="shared" si="15"/>
        <v>5</v>
      </c>
      <c r="AS206">
        <f t="shared" si="16"/>
        <v>6</v>
      </c>
      <c r="AT206">
        <f t="shared" si="17"/>
        <v>5</v>
      </c>
      <c r="AU206">
        <f t="shared" si="18"/>
        <v>0</v>
      </c>
      <c r="AV206">
        <f t="shared" si="19"/>
        <v>7</v>
      </c>
      <c r="AW206">
        <f t="shared" si="20"/>
        <v>5</v>
      </c>
      <c r="AX206">
        <f t="shared" si="21"/>
        <v>4</v>
      </c>
      <c r="AY206">
        <f t="shared" si="22"/>
        <v>2</v>
      </c>
    </row>
    <row r="207" spans="38:51" x14ac:dyDescent="0.35">
      <c r="AL207" s="19" t="s">
        <v>357</v>
      </c>
      <c r="AM207">
        <f t="shared" si="10"/>
        <v>7</v>
      </c>
      <c r="AN207">
        <f t="shared" si="11"/>
        <v>7</v>
      </c>
      <c r="AO207">
        <f t="shared" si="12"/>
        <v>7</v>
      </c>
      <c r="AP207">
        <f t="shared" si="13"/>
        <v>3</v>
      </c>
      <c r="AQ207">
        <f t="shared" si="14"/>
        <v>7</v>
      </c>
      <c r="AR207">
        <f t="shared" si="15"/>
        <v>7</v>
      </c>
      <c r="AS207">
        <f t="shared" si="16"/>
        <v>7</v>
      </c>
      <c r="AT207">
        <f t="shared" si="17"/>
        <v>7</v>
      </c>
      <c r="AU207">
        <f t="shared" si="18"/>
        <v>3</v>
      </c>
      <c r="AV207">
        <f t="shared" si="19"/>
        <v>7</v>
      </c>
      <c r="AW207">
        <f t="shared" si="20"/>
        <v>7</v>
      </c>
      <c r="AX207">
        <f t="shared" si="21"/>
        <v>7</v>
      </c>
      <c r="AY207">
        <f t="shared" si="22"/>
        <v>7</v>
      </c>
    </row>
    <row r="208" spans="38:51" x14ac:dyDescent="0.35">
      <c r="AL208" s="19" t="s">
        <v>358</v>
      </c>
      <c r="AM208">
        <f t="shared" si="10"/>
        <v>5</v>
      </c>
      <c r="AN208">
        <f t="shared" si="11"/>
        <v>7</v>
      </c>
      <c r="AO208">
        <f t="shared" si="12"/>
        <v>5</v>
      </c>
      <c r="AP208">
        <f t="shared" si="13"/>
        <v>0</v>
      </c>
      <c r="AQ208">
        <f t="shared" si="14"/>
        <v>5</v>
      </c>
      <c r="AR208">
        <f t="shared" si="15"/>
        <v>7</v>
      </c>
      <c r="AS208">
        <f t="shared" si="16"/>
        <v>5</v>
      </c>
      <c r="AT208">
        <f t="shared" si="17"/>
        <v>7</v>
      </c>
      <c r="AU208">
        <f t="shared" si="18"/>
        <v>4</v>
      </c>
      <c r="AV208">
        <f t="shared" si="19"/>
        <v>5</v>
      </c>
      <c r="AW208">
        <f t="shared" si="20"/>
        <v>2</v>
      </c>
      <c r="AX208">
        <f t="shared" si="21"/>
        <v>7</v>
      </c>
      <c r="AY208">
        <f t="shared" si="22"/>
        <v>3</v>
      </c>
    </row>
    <row r="209" spans="38:51" x14ac:dyDescent="0.35">
      <c r="AL209" s="19" t="s">
        <v>359</v>
      </c>
      <c r="AM209">
        <f t="shared" si="10"/>
        <v>7</v>
      </c>
      <c r="AN209">
        <f t="shared" si="11"/>
        <v>7</v>
      </c>
      <c r="AO209">
        <f t="shared" si="12"/>
        <v>7</v>
      </c>
      <c r="AP209">
        <f t="shared" si="13"/>
        <v>3</v>
      </c>
      <c r="AQ209">
        <f t="shared" si="14"/>
        <v>7</v>
      </c>
      <c r="AR209">
        <f t="shared" si="15"/>
        <v>7</v>
      </c>
      <c r="AS209">
        <f t="shared" si="16"/>
        <v>7</v>
      </c>
      <c r="AT209">
        <f t="shared" si="17"/>
        <v>7</v>
      </c>
      <c r="AU209">
        <f t="shared" si="18"/>
        <v>0</v>
      </c>
      <c r="AV209">
        <f t="shared" si="19"/>
        <v>7</v>
      </c>
      <c r="AW209">
        <f t="shared" si="20"/>
        <v>5</v>
      </c>
      <c r="AX209">
        <f t="shared" si="21"/>
        <v>5</v>
      </c>
      <c r="AY209">
        <f t="shared" si="22"/>
        <v>7</v>
      </c>
    </row>
    <row r="210" spans="38:51" x14ac:dyDescent="0.35">
      <c r="AL210" s="19" t="s">
        <v>360</v>
      </c>
      <c r="AM210">
        <f t="shared" si="10"/>
        <v>7</v>
      </c>
      <c r="AN210">
        <f t="shared" si="11"/>
        <v>7</v>
      </c>
      <c r="AO210">
        <f t="shared" si="12"/>
        <v>7</v>
      </c>
      <c r="AP210">
        <f t="shared" si="13"/>
        <v>6</v>
      </c>
      <c r="AQ210">
        <f t="shared" si="14"/>
        <v>7</v>
      </c>
      <c r="AR210">
        <f t="shared" si="15"/>
        <v>7</v>
      </c>
      <c r="AS210">
        <f t="shared" si="16"/>
        <v>7</v>
      </c>
      <c r="AT210">
        <f t="shared" si="17"/>
        <v>7</v>
      </c>
      <c r="AU210">
        <f t="shared" si="18"/>
        <v>2</v>
      </c>
      <c r="AV210">
        <f t="shared" si="19"/>
        <v>7</v>
      </c>
      <c r="AW210">
        <f t="shared" si="20"/>
        <v>7</v>
      </c>
      <c r="AX210">
        <f t="shared" si="21"/>
        <v>7</v>
      </c>
      <c r="AY210">
        <f t="shared" si="22"/>
        <v>7</v>
      </c>
    </row>
    <row r="211" spans="38:51" x14ac:dyDescent="0.35">
      <c r="AL211" s="19" t="s">
        <v>361</v>
      </c>
      <c r="AM211">
        <f t="shared" si="10"/>
        <v>1</v>
      </c>
      <c r="AN211">
        <f t="shared" si="11"/>
        <v>6</v>
      </c>
      <c r="AO211">
        <f t="shared" si="12"/>
        <v>5</v>
      </c>
      <c r="AP211">
        <f t="shared" si="13"/>
        <v>4</v>
      </c>
      <c r="AQ211">
        <f t="shared" si="14"/>
        <v>4</v>
      </c>
      <c r="AR211">
        <f t="shared" si="15"/>
        <v>5</v>
      </c>
      <c r="AS211">
        <f t="shared" si="16"/>
        <v>0</v>
      </c>
      <c r="AT211">
        <f t="shared" si="17"/>
        <v>0</v>
      </c>
      <c r="AU211">
        <f t="shared" si="18"/>
        <v>0</v>
      </c>
      <c r="AV211">
        <f t="shared" si="19"/>
        <v>0</v>
      </c>
      <c r="AW211">
        <f t="shared" si="20"/>
        <v>0</v>
      </c>
      <c r="AX211">
        <f t="shared" si="21"/>
        <v>0</v>
      </c>
      <c r="AY211">
        <f t="shared" si="22"/>
        <v>0</v>
      </c>
    </row>
    <row r="212" spans="38:51" x14ac:dyDescent="0.35">
      <c r="AL212" s="19" t="s">
        <v>362</v>
      </c>
      <c r="AM212">
        <f t="shared" si="10"/>
        <v>7</v>
      </c>
      <c r="AN212">
        <f t="shared" si="11"/>
        <v>7</v>
      </c>
      <c r="AO212">
        <f t="shared" si="12"/>
        <v>7</v>
      </c>
      <c r="AP212">
        <f t="shared" si="13"/>
        <v>7</v>
      </c>
      <c r="AQ212">
        <f t="shared" si="14"/>
        <v>7</v>
      </c>
      <c r="AR212">
        <f t="shared" si="15"/>
        <v>7</v>
      </c>
      <c r="AS212">
        <f t="shared" si="16"/>
        <v>7</v>
      </c>
      <c r="AT212">
        <f t="shared" si="17"/>
        <v>7</v>
      </c>
      <c r="AU212">
        <f t="shared" si="18"/>
        <v>7</v>
      </c>
      <c r="AV212">
        <f t="shared" si="19"/>
        <v>7</v>
      </c>
      <c r="AW212">
        <f t="shared" si="20"/>
        <v>7</v>
      </c>
      <c r="AX212">
        <f t="shared" si="21"/>
        <v>7</v>
      </c>
      <c r="AY212">
        <f t="shared" si="22"/>
        <v>7</v>
      </c>
    </row>
    <row r="213" spans="38:51" x14ac:dyDescent="0.35">
      <c r="AL213" s="19" t="s">
        <v>363</v>
      </c>
      <c r="AM213">
        <f t="shared" si="10"/>
        <v>7</v>
      </c>
      <c r="AN213">
        <f t="shared" si="11"/>
        <v>6</v>
      </c>
      <c r="AO213">
        <f t="shared" si="12"/>
        <v>7</v>
      </c>
      <c r="AP213">
        <f t="shared" si="13"/>
        <v>4</v>
      </c>
      <c r="AQ213">
        <f t="shared" si="14"/>
        <v>6</v>
      </c>
      <c r="AR213">
        <f t="shared" si="15"/>
        <v>5</v>
      </c>
      <c r="AS213">
        <f t="shared" si="16"/>
        <v>7</v>
      </c>
      <c r="AT213">
        <f t="shared" si="17"/>
        <v>5</v>
      </c>
      <c r="AU213">
        <f t="shared" si="18"/>
        <v>0</v>
      </c>
      <c r="AV213">
        <f t="shared" si="19"/>
        <v>4</v>
      </c>
      <c r="AW213">
        <f t="shared" si="20"/>
        <v>2</v>
      </c>
      <c r="AX213">
        <f t="shared" si="21"/>
        <v>3</v>
      </c>
      <c r="AY213">
        <f t="shared" si="22"/>
        <v>1</v>
      </c>
    </row>
    <row r="214" spans="38:51" x14ac:dyDescent="0.35">
      <c r="AL214" s="19" t="s">
        <v>364</v>
      </c>
      <c r="AM214">
        <f t="shared" si="10"/>
        <v>7</v>
      </c>
      <c r="AN214">
        <f t="shared" si="11"/>
        <v>7</v>
      </c>
      <c r="AO214">
        <f t="shared" si="12"/>
        <v>7</v>
      </c>
      <c r="AP214">
        <f t="shared" si="13"/>
        <v>4</v>
      </c>
      <c r="AQ214">
        <f t="shared" si="14"/>
        <v>7</v>
      </c>
      <c r="AR214">
        <f t="shared" si="15"/>
        <v>7</v>
      </c>
      <c r="AS214">
        <f t="shared" si="16"/>
        <v>7</v>
      </c>
      <c r="AT214">
        <f t="shared" si="17"/>
        <v>7</v>
      </c>
      <c r="AU214">
        <f t="shared" si="18"/>
        <v>0</v>
      </c>
      <c r="AV214">
        <f t="shared" si="19"/>
        <v>6</v>
      </c>
      <c r="AW214">
        <f t="shared" si="20"/>
        <v>5</v>
      </c>
      <c r="AX214">
        <f t="shared" si="21"/>
        <v>5</v>
      </c>
      <c r="AY214">
        <f t="shared" si="22"/>
        <v>6</v>
      </c>
    </row>
    <row r="215" spans="38:51" x14ac:dyDescent="0.35">
      <c r="AL215" s="19" t="s">
        <v>365</v>
      </c>
      <c r="AM215">
        <f t="shared" si="10"/>
        <v>7</v>
      </c>
      <c r="AN215">
        <f t="shared" si="11"/>
        <v>7</v>
      </c>
      <c r="AO215">
        <f t="shared" si="12"/>
        <v>5</v>
      </c>
      <c r="AP215">
        <f t="shared" si="13"/>
        <v>4</v>
      </c>
      <c r="AQ215">
        <f t="shared" si="14"/>
        <v>5</v>
      </c>
      <c r="AR215">
        <f t="shared" si="15"/>
        <v>7</v>
      </c>
      <c r="AS215">
        <f t="shared" si="16"/>
        <v>5</v>
      </c>
      <c r="AT215">
        <f t="shared" si="17"/>
        <v>7</v>
      </c>
      <c r="AU215">
        <f t="shared" si="18"/>
        <v>0</v>
      </c>
      <c r="AV215">
        <f t="shared" si="19"/>
        <v>7</v>
      </c>
      <c r="AW215">
        <f t="shared" si="20"/>
        <v>7</v>
      </c>
      <c r="AX215">
        <f t="shared" si="21"/>
        <v>7</v>
      </c>
      <c r="AY215">
        <f t="shared" si="22"/>
        <v>7</v>
      </c>
    </row>
    <row r="216" spans="38:51" x14ac:dyDescent="0.35">
      <c r="AL216" s="19" t="s">
        <v>366</v>
      </c>
      <c r="AM216">
        <f t="shared" ref="AM216:AM277" si="23">COUNTIF($AM73:$AS73,"&gt;=85%")</f>
        <v>0</v>
      </c>
      <c r="AN216">
        <f t="shared" ref="AN216:AN277" si="24">COUNTIF($AU73:$BA73,"&gt;=85%")</f>
        <v>0</v>
      </c>
      <c r="AO216">
        <f t="shared" ref="AO216:AO276" si="25">COUNTIF($BC73:$BI73,"&gt;=85%")</f>
        <v>0</v>
      </c>
      <c r="AP216">
        <f t="shared" ref="AP216:AP277" si="26">COUNTIF($BK73:$BQ73,"&gt;=85%")</f>
        <v>0</v>
      </c>
      <c r="AQ216">
        <f t="shared" ref="AQ216:AQ277" si="27">COUNTIF($BS73:$BY73,"&gt;=85%")</f>
        <v>0</v>
      </c>
      <c r="AR216">
        <f t="shared" ref="AR216:AR277" si="28">COUNTIF($CA73:$CG73,"&gt;=85%")</f>
        <v>0</v>
      </c>
      <c r="AS216">
        <f t="shared" ref="AS216:AS277" si="29">COUNTIF($CI73:$CO73,"&gt;=85%")</f>
        <v>0</v>
      </c>
      <c r="AT216">
        <f t="shared" ref="AT216:AT277" si="30">COUNTIF($CQ73:$CW73,"&gt;=85%")</f>
        <v>0</v>
      </c>
      <c r="AU216">
        <f t="shared" ref="AU216:AU277" si="31">COUNTIF($CY73:$DE73,"&gt;=92%")</f>
        <v>0</v>
      </c>
      <c r="AV216">
        <f t="shared" ref="AV216:AV277" si="32">COUNTIF($DG73:$DM73,"&gt;=85%")</f>
        <v>0</v>
      </c>
      <c r="AW216">
        <f t="shared" ref="AW216:AW277" si="33">COUNTIF($DO73:$DU73,"&gt;=85%")</f>
        <v>0</v>
      </c>
      <c r="AX216">
        <f t="shared" ref="AX216:AX277" si="34">COUNTIF($DW73:$EC73,"&gt;=85%")</f>
        <v>0</v>
      </c>
      <c r="AY216">
        <f t="shared" ref="AY216:AY277" si="35">COUNTIF($EE73:$EK73,"&gt;=85%")</f>
        <v>0</v>
      </c>
    </row>
    <row r="217" spans="38:51" x14ac:dyDescent="0.35">
      <c r="AL217" s="19" t="s">
        <v>367</v>
      </c>
      <c r="AM217">
        <f t="shared" si="23"/>
        <v>7</v>
      </c>
      <c r="AN217">
        <f t="shared" si="24"/>
        <v>6</v>
      </c>
      <c r="AO217">
        <f t="shared" si="25"/>
        <v>7</v>
      </c>
      <c r="AP217">
        <f t="shared" si="26"/>
        <v>3</v>
      </c>
      <c r="AQ217">
        <f t="shared" si="27"/>
        <v>4</v>
      </c>
      <c r="AR217">
        <f t="shared" si="28"/>
        <v>6</v>
      </c>
      <c r="AS217">
        <f t="shared" si="29"/>
        <v>5</v>
      </c>
      <c r="AT217">
        <f t="shared" si="30"/>
        <v>5</v>
      </c>
      <c r="AU217">
        <f t="shared" si="31"/>
        <v>0</v>
      </c>
      <c r="AV217">
        <f t="shared" si="32"/>
        <v>5</v>
      </c>
      <c r="AW217">
        <f t="shared" si="33"/>
        <v>6</v>
      </c>
      <c r="AX217">
        <f t="shared" si="34"/>
        <v>7</v>
      </c>
      <c r="AY217">
        <f t="shared" si="35"/>
        <v>7</v>
      </c>
    </row>
    <row r="218" spans="38:51" x14ac:dyDescent="0.35">
      <c r="AL218" s="19" t="s">
        <v>368</v>
      </c>
      <c r="AM218">
        <f t="shared" si="23"/>
        <v>0</v>
      </c>
      <c r="AN218">
        <f t="shared" si="24"/>
        <v>2</v>
      </c>
      <c r="AO218">
        <f t="shared" si="25"/>
        <v>2</v>
      </c>
      <c r="AP218">
        <f t="shared" si="26"/>
        <v>0</v>
      </c>
      <c r="AQ218">
        <f t="shared" si="27"/>
        <v>0</v>
      </c>
      <c r="AR218">
        <f t="shared" si="28"/>
        <v>0</v>
      </c>
      <c r="AS218">
        <f t="shared" si="29"/>
        <v>1</v>
      </c>
      <c r="AT218">
        <f t="shared" si="30"/>
        <v>0</v>
      </c>
      <c r="AU218">
        <f t="shared" si="31"/>
        <v>0</v>
      </c>
      <c r="AV218">
        <f t="shared" si="32"/>
        <v>0</v>
      </c>
      <c r="AW218">
        <f t="shared" si="33"/>
        <v>0</v>
      </c>
      <c r="AX218">
        <f t="shared" si="34"/>
        <v>0</v>
      </c>
      <c r="AY218">
        <f t="shared" si="35"/>
        <v>0</v>
      </c>
    </row>
    <row r="219" spans="38:51" x14ac:dyDescent="0.35">
      <c r="AL219" s="19" t="s">
        <v>369</v>
      </c>
      <c r="AM219">
        <f t="shared" si="23"/>
        <v>0</v>
      </c>
      <c r="AN219">
        <f t="shared" si="24"/>
        <v>0</v>
      </c>
      <c r="AO219">
        <f t="shared" si="25"/>
        <v>1</v>
      </c>
      <c r="AP219">
        <f t="shared" si="26"/>
        <v>1</v>
      </c>
      <c r="AQ219">
        <f t="shared" si="27"/>
        <v>2</v>
      </c>
      <c r="AR219">
        <f t="shared" si="28"/>
        <v>5</v>
      </c>
      <c r="AS219">
        <f t="shared" si="29"/>
        <v>5</v>
      </c>
      <c r="AT219">
        <f t="shared" si="30"/>
        <v>7</v>
      </c>
      <c r="AU219">
        <f t="shared" si="31"/>
        <v>0</v>
      </c>
      <c r="AV219">
        <f t="shared" si="32"/>
        <v>3</v>
      </c>
      <c r="AW219">
        <f t="shared" si="33"/>
        <v>4</v>
      </c>
      <c r="AX219">
        <f t="shared" si="34"/>
        <v>7</v>
      </c>
      <c r="AY219">
        <f t="shared" si="35"/>
        <v>4</v>
      </c>
    </row>
    <row r="220" spans="38:51" x14ac:dyDescent="0.35">
      <c r="AL220" s="19" t="s">
        <v>370</v>
      </c>
      <c r="AM220">
        <f t="shared" si="23"/>
        <v>7</v>
      </c>
      <c r="AN220">
        <f t="shared" si="24"/>
        <v>7</v>
      </c>
      <c r="AO220">
        <f t="shared" si="25"/>
        <v>7</v>
      </c>
      <c r="AP220">
        <f t="shared" si="26"/>
        <v>4</v>
      </c>
      <c r="AQ220">
        <f t="shared" si="27"/>
        <v>7</v>
      </c>
      <c r="AR220">
        <f t="shared" si="28"/>
        <v>7</v>
      </c>
      <c r="AS220">
        <f t="shared" si="29"/>
        <v>5</v>
      </c>
      <c r="AT220">
        <f t="shared" si="30"/>
        <v>7</v>
      </c>
      <c r="AU220">
        <f t="shared" si="31"/>
        <v>0</v>
      </c>
      <c r="AV220">
        <f t="shared" si="32"/>
        <v>6</v>
      </c>
      <c r="AW220">
        <f t="shared" si="33"/>
        <v>6</v>
      </c>
      <c r="AX220">
        <f t="shared" si="34"/>
        <v>7</v>
      </c>
      <c r="AY220">
        <f t="shared" si="35"/>
        <v>7</v>
      </c>
    </row>
    <row r="221" spans="38:51" x14ac:dyDescent="0.35">
      <c r="AL221" s="19" t="s">
        <v>371</v>
      </c>
      <c r="AM221">
        <f t="shared" si="23"/>
        <v>0</v>
      </c>
      <c r="AN221">
        <f t="shared" si="24"/>
        <v>1</v>
      </c>
      <c r="AO221">
        <f t="shared" si="25"/>
        <v>1</v>
      </c>
      <c r="AP221">
        <f t="shared" si="26"/>
        <v>2</v>
      </c>
      <c r="AQ221">
        <f t="shared" si="27"/>
        <v>1</v>
      </c>
      <c r="AR221">
        <f t="shared" si="28"/>
        <v>1</v>
      </c>
      <c r="AS221">
        <f t="shared" si="29"/>
        <v>1</v>
      </c>
      <c r="AT221">
        <f t="shared" si="30"/>
        <v>0</v>
      </c>
      <c r="AU221">
        <f t="shared" si="31"/>
        <v>0</v>
      </c>
      <c r="AV221">
        <f t="shared" si="32"/>
        <v>0</v>
      </c>
      <c r="AW221">
        <f t="shared" si="33"/>
        <v>0</v>
      </c>
      <c r="AX221">
        <f t="shared" si="34"/>
        <v>0</v>
      </c>
      <c r="AY221">
        <f t="shared" si="35"/>
        <v>0</v>
      </c>
    </row>
    <row r="222" spans="38:51" x14ac:dyDescent="0.35">
      <c r="AL222" s="19" t="s">
        <v>372</v>
      </c>
      <c r="AM222">
        <f t="shared" si="23"/>
        <v>7</v>
      </c>
      <c r="AN222">
        <f t="shared" si="24"/>
        <v>7</v>
      </c>
      <c r="AO222">
        <f t="shared" si="25"/>
        <v>7</v>
      </c>
      <c r="AP222">
        <f t="shared" si="26"/>
        <v>5</v>
      </c>
      <c r="AQ222">
        <f t="shared" si="27"/>
        <v>7</v>
      </c>
      <c r="AR222">
        <f t="shared" si="28"/>
        <v>7</v>
      </c>
      <c r="AS222">
        <f t="shared" si="29"/>
        <v>7</v>
      </c>
      <c r="AT222">
        <f t="shared" si="30"/>
        <v>7</v>
      </c>
      <c r="AU222">
        <f t="shared" si="31"/>
        <v>4</v>
      </c>
      <c r="AV222">
        <f t="shared" si="32"/>
        <v>7</v>
      </c>
      <c r="AW222">
        <f t="shared" si="33"/>
        <v>6</v>
      </c>
      <c r="AX222">
        <f t="shared" si="34"/>
        <v>7</v>
      </c>
      <c r="AY222">
        <f t="shared" si="35"/>
        <v>7</v>
      </c>
    </row>
    <row r="223" spans="38:51" x14ac:dyDescent="0.35">
      <c r="AL223" s="19" t="s">
        <v>373</v>
      </c>
      <c r="AM223">
        <f t="shared" si="23"/>
        <v>6</v>
      </c>
      <c r="AN223">
        <f t="shared" si="24"/>
        <v>7</v>
      </c>
      <c r="AO223">
        <f t="shared" si="25"/>
        <v>3</v>
      </c>
      <c r="AP223">
        <f t="shared" si="26"/>
        <v>0</v>
      </c>
      <c r="AQ223">
        <f t="shared" si="27"/>
        <v>3</v>
      </c>
      <c r="AR223">
        <f t="shared" si="28"/>
        <v>4</v>
      </c>
      <c r="AS223">
        <f t="shared" si="29"/>
        <v>6</v>
      </c>
      <c r="AT223">
        <f t="shared" si="30"/>
        <v>7</v>
      </c>
      <c r="AU223">
        <f t="shared" si="31"/>
        <v>2</v>
      </c>
      <c r="AV223">
        <f t="shared" si="32"/>
        <v>3</v>
      </c>
      <c r="AW223">
        <f t="shared" si="33"/>
        <v>0</v>
      </c>
      <c r="AX223">
        <f t="shared" si="34"/>
        <v>0</v>
      </c>
      <c r="AY223">
        <f t="shared" si="35"/>
        <v>0</v>
      </c>
    </row>
    <row r="224" spans="38:51" x14ac:dyDescent="0.35">
      <c r="AL224" s="19" t="s">
        <v>374</v>
      </c>
      <c r="AM224">
        <f t="shared" si="23"/>
        <v>6</v>
      </c>
      <c r="AN224">
        <f t="shared" si="24"/>
        <v>7</v>
      </c>
      <c r="AO224">
        <f t="shared" si="25"/>
        <v>6</v>
      </c>
      <c r="AP224">
        <f t="shared" si="26"/>
        <v>1</v>
      </c>
      <c r="AQ224">
        <f t="shared" si="27"/>
        <v>1</v>
      </c>
      <c r="AR224">
        <f t="shared" si="28"/>
        <v>4</v>
      </c>
      <c r="AS224">
        <f t="shared" si="29"/>
        <v>4</v>
      </c>
      <c r="AT224">
        <f t="shared" si="30"/>
        <v>3</v>
      </c>
      <c r="AU224">
        <f t="shared" si="31"/>
        <v>0</v>
      </c>
      <c r="AV224">
        <f t="shared" si="32"/>
        <v>1</v>
      </c>
      <c r="AW224">
        <f t="shared" si="33"/>
        <v>2</v>
      </c>
      <c r="AX224">
        <f t="shared" si="34"/>
        <v>4</v>
      </c>
      <c r="AY224">
        <f t="shared" si="35"/>
        <v>4</v>
      </c>
    </row>
    <row r="225" spans="38:51" x14ac:dyDescent="0.35">
      <c r="AL225" s="19" t="s">
        <v>375</v>
      </c>
      <c r="AM225">
        <f t="shared" si="23"/>
        <v>2</v>
      </c>
      <c r="AN225">
        <f t="shared" si="24"/>
        <v>6</v>
      </c>
      <c r="AO225">
        <f t="shared" si="25"/>
        <v>5</v>
      </c>
      <c r="AP225">
        <f t="shared" si="26"/>
        <v>0</v>
      </c>
      <c r="AQ225">
        <f t="shared" si="27"/>
        <v>1</v>
      </c>
      <c r="AR225">
        <f t="shared" si="28"/>
        <v>4</v>
      </c>
      <c r="AS225">
        <f t="shared" si="29"/>
        <v>4</v>
      </c>
      <c r="AT225">
        <f t="shared" si="30"/>
        <v>0</v>
      </c>
      <c r="AU225">
        <f t="shared" si="31"/>
        <v>0</v>
      </c>
      <c r="AV225">
        <f t="shared" si="32"/>
        <v>0</v>
      </c>
      <c r="AW225">
        <f t="shared" si="33"/>
        <v>1</v>
      </c>
      <c r="AX225">
        <f t="shared" si="34"/>
        <v>0</v>
      </c>
      <c r="AY225">
        <f t="shared" si="35"/>
        <v>0</v>
      </c>
    </row>
    <row r="226" spans="38:51" x14ac:dyDescent="0.35">
      <c r="AL226" s="19" t="s">
        <v>376</v>
      </c>
      <c r="AM226">
        <f t="shared" si="23"/>
        <v>7</v>
      </c>
      <c r="AN226">
        <f t="shared" si="24"/>
        <v>7</v>
      </c>
      <c r="AO226">
        <f t="shared" si="25"/>
        <v>7</v>
      </c>
      <c r="AP226">
        <f t="shared" si="26"/>
        <v>7</v>
      </c>
      <c r="AQ226">
        <f t="shared" si="27"/>
        <v>7</v>
      </c>
      <c r="AR226">
        <f t="shared" si="28"/>
        <v>7</v>
      </c>
      <c r="AS226">
        <f t="shared" si="29"/>
        <v>7</v>
      </c>
      <c r="AT226">
        <f t="shared" si="30"/>
        <v>7</v>
      </c>
      <c r="AU226">
        <f t="shared" si="31"/>
        <v>4</v>
      </c>
      <c r="AV226">
        <f t="shared" si="32"/>
        <v>7</v>
      </c>
      <c r="AW226">
        <f t="shared" si="33"/>
        <v>7</v>
      </c>
      <c r="AX226">
        <f t="shared" si="34"/>
        <v>7</v>
      </c>
      <c r="AY226">
        <f t="shared" si="35"/>
        <v>7</v>
      </c>
    </row>
    <row r="227" spans="38:51" x14ac:dyDescent="0.35">
      <c r="AL227" s="19" t="s">
        <v>377</v>
      </c>
      <c r="AM227">
        <f t="shared" si="23"/>
        <v>5</v>
      </c>
      <c r="AN227">
        <f t="shared" si="24"/>
        <v>7</v>
      </c>
      <c r="AO227">
        <f t="shared" si="25"/>
        <v>6</v>
      </c>
      <c r="AP227">
        <f t="shared" si="26"/>
        <v>3</v>
      </c>
      <c r="AQ227">
        <f t="shared" si="27"/>
        <v>2</v>
      </c>
      <c r="AR227">
        <f t="shared" si="28"/>
        <v>5</v>
      </c>
      <c r="AS227">
        <f t="shared" si="29"/>
        <v>4</v>
      </c>
      <c r="AT227">
        <f t="shared" si="30"/>
        <v>6</v>
      </c>
      <c r="AU227">
        <f t="shared" si="31"/>
        <v>0</v>
      </c>
      <c r="AV227">
        <f t="shared" si="32"/>
        <v>3</v>
      </c>
      <c r="AW227">
        <f t="shared" si="33"/>
        <v>2</v>
      </c>
      <c r="AX227">
        <f t="shared" si="34"/>
        <v>7</v>
      </c>
      <c r="AY227">
        <f t="shared" si="35"/>
        <v>7</v>
      </c>
    </row>
    <row r="228" spans="38:51" x14ac:dyDescent="0.35">
      <c r="AL228" s="19" t="s">
        <v>378</v>
      </c>
      <c r="AM228">
        <f t="shared" si="23"/>
        <v>6</v>
      </c>
      <c r="AN228">
        <f t="shared" si="24"/>
        <v>7</v>
      </c>
      <c r="AO228">
        <f t="shared" si="25"/>
        <v>3</v>
      </c>
      <c r="AP228">
        <f t="shared" si="26"/>
        <v>3</v>
      </c>
      <c r="AQ228">
        <f t="shared" si="27"/>
        <v>3</v>
      </c>
      <c r="AR228">
        <f t="shared" si="28"/>
        <v>7</v>
      </c>
      <c r="AS228">
        <f t="shared" si="29"/>
        <v>4</v>
      </c>
      <c r="AT228">
        <f t="shared" si="30"/>
        <v>4</v>
      </c>
      <c r="AU228">
        <f t="shared" si="31"/>
        <v>0</v>
      </c>
      <c r="AV228">
        <f t="shared" si="32"/>
        <v>5</v>
      </c>
      <c r="AW228">
        <f t="shared" si="33"/>
        <v>1</v>
      </c>
      <c r="AX228">
        <f t="shared" si="34"/>
        <v>7</v>
      </c>
      <c r="AY228">
        <f t="shared" si="35"/>
        <v>5</v>
      </c>
    </row>
    <row r="229" spans="38:51" x14ac:dyDescent="0.35">
      <c r="AL229" s="19" t="s">
        <v>379</v>
      </c>
      <c r="AM229">
        <f t="shared" si="23"/>
        <v>6</v>
      </c>
      <c r="AN229">
        <f t="shared" si="24"/>
        <v>7</v>
      </c>
      <c r="AO229">
        <f t="shared" si="25"/>
        <v>7</v>
      </c>
      <c r="AP229">
        <f t="shared" si="26"/>
        <v>4</v>
      </c>
      <c r="AQ229">
        <f t="shared" si="27"/>
        <v>4</v>
      </c>
      <c r="AR229">
        <f t="shared" si="28"/>
        <v>5</v>
      </c>
      <c r="AS229">
        <f t="shared" si="29"/>
        <v>7</v>
      </c>
      <c r="AT229">
        <f t="shared" si="30"/>
        <v>5</v>
      </c>
      <c r="AU229">
        <f t="shared" si="31"/>
        <v>0</v>
      </c>
      <c r="AV229">
        <f t="shared" si="32"/>
        <v>0</v>
      </c>
      <c r="AW229">
        <f t="shared" si="33"/>
        <v>0</v>
      </c>
      <c r="AX229">
        <f t="shared" si="34"/>
        <v>0</v>
      </c>
      <c r="AY229">
        <f t="shared" si="35"/>
        <v>0</v>
      </c>
    </row>
    <row r="230" spans="38:51" x14ac:dyDescent="0.35">
      <c r="AL230" s="19" t="s">
        <v>380</v>
      </c>
      <c r="AM230">
        <f t="shared" si="23"/>
        <v>7</v>
      </c>
      <c r="AN230">
        <f t="shared" si="24"/>
        <v>7</v>
      </c>
      <c r="AO230">
        <f t="shared" si="25"/>
        <v>7</v>
      </c>
      <c r="AP230">
        <f t="shared" si="26"/>
        <v>6</v>
      </c>
      <c r="AQ230">
        <f t="shared" si="27"/>
        <v>7</v>
      </c>
      <c r="AR230">
        <f t="shared" si="28"/>
        <v>7</v>
      </c>
      <c r="AS230">
        <f t="shared" si="29"/>
        <v>7</v>
      </c>
      <c r="AT230">
        <f t="shared" si="30"/>
        <v>5</v>
      </c>
      <c r="AU230">
        <f t="shared" si="31"/>
        <v>0</v>
      </c>
      <c r="AV230">
        <f t="shared" si="32"/>
        <v>3</v>
      </c>
      <c r="AW230">
        <f t="shared" si="33"/>
        <v>1</v>
      </c>
      <c r="AX230">
        <f t="shared" si="34"/>
        <v>7</v>
      </c>
      <c r="AY230">
        <f t="shared" si="35"/>
        <v>7</v>
      </c>
    </row>
    <row r="231" spans="38:51" x14ac:dyDescent="0.35">
      <c r="AL231" s="19" t="s">
        <v>381</v>
      </c>
      <c r="AM231">
        <f t="shared" si="23"/>
        <v>2</v>
      </c>
      <c r="AN231">
        <f t="shared" si="24"/>
        <v>0</v>
      </c>
      <c r="AO231">
        <f t="shared" si="25"/>
        <v>1</v>
      </c>
      <c r="AP231">
        <f t="shared" si="26"/>
        <v>0</v>
      </c>
      <c r="AQ231">
        <f t="shared" si="27"/>
        <v>5</v>
      </c>
      <c r="AR231">
        <f t="shared" si="28"/>
        <v>7</v>
      </c>
      <c r="AS231">
        <f t="shared" si="29"/>
        <v>3</v>
      </c>
      <c r="AT231">
        <f t="shared" si="30"/>
        <v>7</v>
      </c>
      <c r="AU231">
        <f t="shared" si="31"/>
        <v>2</v>
      </c>
      <c r="AV231">
        <f t="shared" si="32"/>
        <v>4</v>
      </c>
      <c r="AW231">
        <f t="shared" si="33"/>
        <v>0</v>
      </c>
      <c r="AX231">
        <f t="shared" si="34"/>
        <v>1</v>
      </c>
      <c r="AY231">
        <f t="shared" si="35"/>
        <v>0</v>
      </c>
    </row>
    <row r="232" spans="38:51" x14ac:dyDescent="0.35">
      <c r="AL232" s="19" t="s">
        <v>382</v>
      </c>
      <c r="AM232">
        <f t="shared" si="23"/>
        <v>0</v>
      </c>
      <c r="AN232">
        <f t="shared" si="24"/>
        <v>0</v>
      </c>
      <c r="AO232">
        <f t="shared" si="25"/>
        <v>0</v>
      </c>
      <c r="AP232">
        <f t="shared" si="26"/>
        <v>0</v>
      </c>
      <c r="AQ232">
        <f t="shared" si="27"/>
        <v>0</v>
      </c>
      <c r="AR232">
        <f t="shared" si="28"/>
        <v>0</v>
      </c>
      <c r="AS232">
        <f t="shared" si="29"/>
        <v>0</v>
      </c>
      <c r="AT232">
        <f t="shared" si="30"/>
        <v>0</v>
      </c>
      <c r="AU232">
        <f t="shared" si="31"/>
        <v>0</v>
      </c>
      <c r="AV232">
        <f t="shared" si="32"/>
        <v>0</v>
      </c>
      <c r="AW232">
        <f t="shared" si="33"/>
        <v>0</v>
      </c>
      <c r="AX232">
        <f t="shared" si="34"/>
        <v>0</v>
      </c>
      <c r="AY232">
        <f t="shared" si="35"/>
        <v>0</v>
      </c>
    </row>
    <row r="233" spans="38:51" x14ac:dyDescent="0.35">
      <c r="AL233" s="19" t="s">
        <v>383</v>
      </c>
      <c r="AM233">
        <f t="shared" si="23"/>
        <v>7</v>
      </c>
      <c r="AN233">
        <f t="shared" si="24"/>
        <v>7</v>
      </c>
      <c r="AO233">
        <f t="shared" si="25"/>
        <v>7</v>
      </c>
      <c r="AP233">
        <f t="shared" si="26"/>
        <v>7</v>
      </c>
      <c r="AQ233">
        <f t="shared" si="27"/>
        <v>7</v>
      </c>
      <c r="AR233">
        <f t="shared" si="28"/>
        <v>7</v>
      </c>
      <c r="AS233">
        <f t="shared" si="29"/>
        <v>7</v>
      </c>
      <c r="AT233">
        <f t="shared" si="30"/>
        <v>7</v>
      </c>
      <c r="AU233">
        <f t="shared" si="31"/>
        <v>7</v>
      </c>
      <c r="AV233">
        <f t="shared" si="32"/>
        <v>7</v>
      </c>
      <c r="AW233">
        <f t="shared" si="33"/>
        <v>7</v>
      </c>
      <c r="AX233">
        <f t="shared" si="34"/>
        <v>7</v>
      </c>
      <c r="AY233">
        <f t="shared" si="35"/>
        <v>7</v>
      </c>
    </row>
    <row r="234" spans="38:51" x14ac:dyDescent="0.35">
      <c r="AL234" s="19" t="s">
        <v>384</v>
      </c>
      <c r="AM234">
        <f t="shared" si="23"/>
        <v>2</v>
      </c>
      <c r="AN234">
        <f t="shared" si="24"/>
        <v>6</v>
      </c>
      <c r="AO234">
        <f t="shared" si="25"/>
        <v>4</v>
      </c>
      <c r="AP234">
        <f t="shared" si="26"/>
        <v>0</v>
      </c>
      <c r="AQ234">
        <f t="shared" si="27"/>
        <v>7</v>
      </c>
      <c r="AR234">
        <f t="shared" si="28"/>
        <v>7</v>
      </c>
      <c r="AS234">
        <f t="shared" si="29"/>
        <v>7</v>
      </c>
      <c r="AT234">
        <f t="shared" si="30"/>
        <v>7</v>
      </c>
      <c r="AU234">
        <f t="shared" si="31"/>
        <v>1</v>
      </c>
      <c r="AV234">
        <f t="shared" si="32"/>
        <v>3</v>
      </c>
      <c r="AW234">
        <f t="shared" si="33"/>
        <v>0</v>
      </c>
      <c r="AX234">
        <f t="shared" si="34"/>
        <v>6</v>
      </c>
      <c r="AY234">
        <f t="shared" si="35"/>
        <v>7</v>
      </c>
    </row>
    <row r="235" spans="38:51" x14ac:dyDescent="0.35">
      <c r="AL235" s="19" t="s">
        <v>385</v>
      </c>
      <c r="AM235">
        <f t="shared" si="23"/>
        <v>0</v>
      </c>
      <c r="AN235">
        <f t="shared" si="24"/>
        <v>1</v>
      </c>
      <c r="AO235">
        <f t="shared" si="25"/>
        <v>1</v>
      </c>
      <c r="AP235">
        <f t="shared" si="26"/>
        <v>1</v>
      </c>
      <c r="AQ235">
        <f t="shared" si="27"/>
        <v>2</v>
      </c>
      <c r="AR235">
        <f t="shared" si="28"/>
        <v>2</v>
      </c>
      <c r="AS235">
        <f t="shared" si="29"/>
        <v>0</v>
      </c>
      <c r="AT235">
        <f t="shared" si="30"/>
        <v>5</v>
      </c>
      <c r="AU235">
        <f t="shared" si="31"/>
        <v>0</v>
      </c>
      <c r="AV235">
        <f t="shared" si="32"/>
        <v>0</v>
      </c>
      <c r="AW235">
        <f t="shared" si="33"/>
        <v>0</v>
      </c>
      <c r="AX235">
        <f t="shared" si="34"/>
        <v>1</v>
      </c>
      <c r="AY235">
        <f t="shared" si="35"/>
        <v>0</v>
      </c>
    </row>
    <row r="236" spans="38:51" x14ac:dyDescent="0.35">
      <c r="AL236" s="19" t="s">
        <v>386</v>
      </c>
      <c r="AM236">
        <f t="shared" si="23"/>
        <v>3</v>
      </c>
      <c r="AN236">
        <f t="shared" si="24"/>
        <v>7</v>
      </c>
      <c r="AO236">
        <f t="shared" si="25"/>
        <v>5</v>
      </c>
      <c r="AP236">
        <f t="shared" si="26"/>
        <v>4</v>
      </c>
      <c r="AQ236">
        <f t="shared" si="27"/>
        <v>6</v>
      </c>
      <c r="AR236">
        <f t="shared" si="28"/>
        <v>7</v>
      </c>
      <c r="AS236">
        <f t="shared" si="29"/>
        <v>6</v>
      </c>
      <c r="AT236">
        <f t="shared" si="30"/>
        <v>6</v>
      </c>
      <c r="AU236">
        <f t="shared" si="31"/>
        <v>0</v>
      </c>
      <c r="AV236">
        <f t="shared" si="32"/>
        <v>7</v>
      </c>
      <c r="AW236">
        <f t="shared" si="33"/>
        <v>7</v>
      </c>
      <c r="AX236">
        <f t="shared" si="34"/>
        <v>7</v>
      </c>
      <c r="AY236">
        <f t="shared" si="35"/>
        <v>5</v>
      </c>
    </row>
    <row r="237" spans="38:51" x14ac:dyDescent="0.35">
      <c r="AL237" s="19" t="s">
        <v>387</v>
      </c>
      <c r="AM237">
        <f t="shared" si="23"/>
        <v>1</v>
      </c>
      <c r="AN237">
        <f t="shared" si="24"/>
        <v>0</v>
      </c>
      <c r="AO237">
        <f t="shared" si="25"/>
        <v>1</v>
      </c>
      <c r="AP237">
        <f t="shared" si="26"/>
        <v>0</v>
      </c>
      <c r="AQ237">
        <f t="shared" si="27"/>
        <v>0</v>
      </c>
      <c r="AR237">
        <f t="shared" si="28"/>
        <v>0</v>
      </c>
      <c r="AS237">
        <f t="shared" si="29"/>
        <v>0</v>
      </c>
      <c r="AT237">
        <f t="shared" si="30"/>
        <v>0</v>
      </c>
      <c r="AU237">
        <f t="shared" si="31"/>
        <v>0</v>
      </c>
      <c r="AV237">
        <f t="shared" si="32"/>
        <v>0</v>
      </c>
      <c r="AW237">
        <f t="shared" si="33"/>
        <v>0</v>
      </c>
      <c r="AX237">
        <f t="shared" si="34"/>
        <v>0</v>
      </c>
      <c r="AY237">
        <f t="shared" si="35"/>
        <v>0</v>
      </c>
    </row>
    <row r="238" spans="38:51" x14ac:dyDescent="0.35">
      <c r="AL238" s="19" t="s">
        <v>388</v>
      </c>
      <c r="AM238">
        <f t="shared" si="23"/>
        <v>0</v>
      </c>
      <c r="AN238">
        <f t="shared" si="24"/>
        <v>0</v>
      </c>
      <c r="AO238">
        <f t="shared" si="25"/>
        <v>0</v>
      </c>
      <c r="AP238">
        <f t="shared" si="26"/>
        <v>0</v>
      </c>
      <c r="AQ238">
        <f t="shared" si="27"/>
        <v>0</v>
      </c>
      <c r="AR238">
        <f t="shared" si="28"/>
        <v>0</v>
      </c>
      <c r="AS238">
        <f t="shared" si="29"/>
        <v>0</v>
      </c>
      <c r="AT238">
        <f t="shared" si="30"/>
        <v>0</v>
      </c>
      <c r="AU238">
        <f t="shared" si="31"/>
        <v>0</v>
      </c>
      <c r="AV238">
        <f t="shared" si="32"/>
        <v>0</v>
      </c>
      <c r="AW238">
        <f t="shared" si="33"/>
        <v>0</v>
      </c>
      <c r="AX238">
        <f t="shared" si="34"/>
        <v>0</v>
      </c>
      <c r="AY238">
        <f t="shared" si="35"/>
        <v>0</v>
      </c>
    </row>
    <row r="239" spans="38:51" x14ac:dyDescent="0.35">
      <c r="AL239" s="19" t="s">
        <v>389</v>
      </c>
      <c r="AM239">
        <f t="shared" si="23"/>
        <v>7</v>
      </c>
      <c r="AN239">
        <f t="shared" si="24"/>
        <v>5</v>
      </c>
      <c r="AO239">
        <f t="shared" si="25"/>
        <v>5</v>
      </c>
      <c r="AP239">
        <f t="shared" si="26"/>
        <v>1</v>
      </c>
      <c r="AQ239">
        <f t="shared" si="27"/>
        <v>4</v>
      </c>
      <c r="AR239">
        <f t="shared" si="28"/>
        <v>3</v>
      </c>
      <c r="AS239">
        <f t="shared" si="29"/>
        <v>4</v>
      </c>
      <c r="AT239">
        <f t="shared" si="30"/>
        <v>5</v>
      </c>
      <c r="AU239">
        <f t="shared" si="31"/>
        <v>0</v>
      </c>
      <c r="AV239">
        <f t="shared" si="32"/>
        <v>0</v>
      </c>
      <c r="AW239">
        <f t="shared" si="33"/>
        <v>1</v>
      </c>
      <c r="AX239">
        <f t="shared" si="34"/>
        <v>0</v>
      </c>
      <c r="AY239">
        <f t="shared" si="35"/>
        <v>0</v>
      </c>
    </row>
    <row r="240" spans="38:51" x14ac:dyDescent="0.35">
      <c r="AL240" s="19" t="s">
        <v>390</v>
      </c>
      <c r="AM240">
        <f t="shared" si="23"/>
        <v>7</v>
      </c>
      <c r="AN240">
        <f t="shared" si="24"/>
        <v>7</v>
      </c>
      <c r="AO240">
        <f t="shared" si="25"/>
        <v>7</v>
      </c>
      <c r="AP240">
        <f t="shared" si="26"/>
        <v>2</v>
      </c>
      <c r="AQ240">
        <f t="shared" si="27"/>
        <v>7</v>
      </c>
      <c r="AR240">
        <f t="shared" si="28"/>
        <v>7</v>
      </c>
      <c r="AS240">
        <f t="shared" si="29"/>
        <v>7</v>
      </c>
      <c r="AT240">
        <f t="shared" si="30"/>
        <v>7</v>
      </c>
      <c r="AU240">
        <f t="shared" si="31"/>
        <v>7</v>
      </c>
      <c r="AV240">
        <f t="shared" si="32"/>
        <v>7</v>
      </c>
      <c r="AW240">
        <f t="shared" si="33"/>
        <v>7</v>
      </c>
      <c r="AX240">
        <f t="shared" si="34"/>
        <v>6</v>
      </c>
      <c r="AY240">
        <f t="shared" si="35"/>
        <v>7</v>
      </c>
    </row>
    <row r="241" spans="38:51" x14ac:dyDescent="0.35">
      <c r="AL241" s="19" t="s">
        <v>391</v>
      </c>
      <c r="AM241">
        <f t="shared" si="23"/>
        <v>4</v>
      </c>
      <c r="AN241">
        <f t="shared" si="24"/>
        <v>4</v>
      </c>
      <c r="AO241">
        <f t="shared" si="25"/>
        <v>5</v>
      </c>
      <c r="AP241">
        <f t="shared" si="26"/>
        <v>2</v>
      </c>
      <c r="AQ241">
        <f t="shared" si="27"/>
        <v>3</v>
      </c>
      <c r="AR241">
        <f t="shared" si="28"/>
        <v>6</v>
      </c>
      <c r="AS241">
        <f t="shared" si="29"/>
        <v>5</v>
      </c>
      <c r="AT241">
        <f t="shared" si="30"/>
        <v>6</v>
      </c>
      <c r="AU241">
        <f t="shared" si="31"/>
        <v>0</v>
      </c>
      <c r="AV241">
        <f t="shared" si="32"/>
        <v>3</v>
      </c>
      <c r="AW241">
        <f t="shared" si="33"/>
        <v>2</v>
      </c>
      <c r="AX241">
        <f t="shared" si="34"/>
        <v>0</v>
      </c>
      <c r="AY241">
        <f t="shared" si="35"/>
        <v>1</v>
      </c>
    </row>
    <row r="242" spans="38:51" x14ac:dyDescent="0.35">
      <c r="AL242" s="19" t="s">
        <v>392</v>
      </c>
      <c r="AM242">
        <f t="shared" si="23"/>
        <v>7</v>
      </c>
      <c r="AN242">
        <f t="shared" si="24"/>
        <v>7</v>
      </c>
      <c r="AO242">
        <f t="shared" si="25"/>
        <v>5</v>
      </c>
      <c r="AP242">
        <f t="shared" si="26"/>
        <v>2</v>
      </c>
      <c r="AQ242">
        <f t="shared" si="27"/>
        <v>5</v>
      </c>
      <c r="AR242">
        <f t="shared" si="28"/>
        <v>7</v>
      </c>
      <c r="AS242">
        <f t="shared" si="29"/>
        <v>7</v>
      </c>
      <c r="AT242">
        <f t="shared" si="30"/>
        <v>7</v>
      </c>
      <c r="AU242">
        <f t="shared" si="31"/>
        <v>2</v>
      </c>
      <c r="AV242">
        <f t="shared" si="32"/>
        <v>7</v>
      </c>
      <c r="AW242">
        <f t="shared" si="33"/>
        <v>7</v>
      </c>
      <c r="AX242">
        <f t="shared" si="34"/>
        <v>7</v>
      </c>
      <c r="AY242">
        <f t="shared" si="35"/>
        <v>4</v>
      </c>
    </row>
    <row r="243" spans="38:51" x14ac:dyDescent="0.35">
      <c r="AL243" s="19" t="s">
        <v>393</v>
      </c>
      <c r="AM243">
        <f t="shared" si="23"/>
        <v>5</v>
      </c>
      <c r="AN243">
        <f t="shared" si="24"/>
        <v>7</v>
      </c>
      <c r="AO243">
        <f t="shared" si="25"/>
        <v>7</v>
      </c>
      <c r="AP243">
        <f t="shared" si="26"/>
        <v>3</v>
      </c>
      <c r="AQ243">
        <f t="shared" si="27"/>
        <v>7</v>
      </c>
      <c r="AR243">
        <f t="shared" si="28"/>
        <v>7</v>
      </c>
      <c r="AS243">
        <f t="shared" si="29"/>
        <v>7</v>
      </c>
      <c r="AT243">
        <f t="shared" si="30"/>
        <v>5</v>
      </c>
      <c r="AU243">
        <f t="shared" si="31"/>
        <v>1</v>
      </c>
      <c r="AV243">
        <f t="shared" si="32"/>
        <v>6</v>
      </c>
      <c r="AW243">
        <f t="shared" si="33"/>
        <v>7</v>
      </c>
      <c r="AX243">
        <f t="shared" si="34"/>
        <v>6</v>
      </c>
      <c r="AY243">
        <f t="shared" si="35"/>
        <v>4</v>
      </c>
    </row>
    <row r="244" spans="38:51" x14ac:dyDescent="0.35">
      <c r="AL244" s="19" t="s">
        <v>394</v>
      </c>
      <c r="AM244">
        <f t="shared" si="23"/>
        <v>7</v>
      </c>
      <c r="AN244">
        <f t="shared" si="24"/>
        <v>7</v>
      </c>
      <c r="AO244">
        <f t="shared" si="25"/>
        <v>7</v>
      </c>
      <c r="AP244">
        <f t="shared" si="26"/>
        <v>7</v>
      </c>
      <c r="AQ244">
        <f t="shared" si="27"/>
        <v>7</v>
      </c>
      <c r="AR244">
        <f t="shared" si="28"/>
        <v>7</v>
      </c>
      <c r="AS244">
        <f t="shared" si="29"/>
        <v>7</v>
      </c>
      <c r="AT244">
        <f t="shared" si="30"/>
        <v>7</v>
      </c>
      <c r="AU244">
        <f t="shared" si="31"/>
        <v>4</v>
      </c>
      <c r="AV244">
        <f t="shared" si="32"/>
        <v>7</v>
      </c>
      <c r="AW244">
        <f t="shared" si="33"/>
        <v>7</v>
      </c>
      <c r="AX244">
        <f t="shared" si="34"/>
        <v>7</v>
      </c>
      <c r="AY244">
        <f t="shared" si="35"/>
        <v>5</v>
      </c>
    </row>
    <row r="245" spans="38:51" x14ac:dyDescent="0.35">
      <c r="AL245" s="19" t="s">
        <v>395</v>
      </c>
      <c r="AM245">
        <f t="shared" si="23"/>
        <v>0</v>
      </c>
      <c r="AN245">
        <f t="shared" si="24"/>
        <v>0</v>
      </c>
      <c r="AO245">
        <f t="shared" si="25"/>
        <v>0</v>
      </c>
      <c r="AP245">
        <f t="shared" si="26"/>
        <v>0</v>
      </c>
      <c r="AQ245">
        <f t="shared" si="27"/>
        <v>0</v>
      </c>
      <c r="AR245">
        <f t="shared" si="28"/>
        <v>0</v>
      </c>
      <c r="AS245">
        <f t="shared" si="29"/>
        <v>0</v>
      </c>
      <c r="AT245">
        <f t="shared" si="30"/>
        <v>0</v>
      </c>
      <c r="AU245">
        <f t="shared" si="31"/>
        <v>0</v>
      </c>
      <c r="AV245">
        <f t="shared" si="32"/>
        <v>0</v>
      </c>
      <c r="AW245">
        <f t="shared" si="33"/>
        <v>0</v>
      </c>
      <c r="AX245">
        <f t="shared" si="34"/>
        <v>0</v>
      </c>
      <c r="AY245">
        <f t="shared" si="35"/>
        <v>0</v>
      </c>
    </row>
    <row r="246" spans="38:51" x14ac:dyDescent="0.35">
      <c r="AL246" s="19" t="s">
        <v>396</v>
      </c>
      <c r="AM246">
        <f t="shared" si="23"/>
        <v>7</v>
      </c>
      <c r="AN246">
        <f t="shared" si="24"/>
        <v>7</v>
      </c>
      <c r="AO246">
        <f t="shared" si="25"/>
        <v>7</v>
      </c>
      <c r="AP246">
        <f t="shared" si="26"/>
        <v>5</v>
      </c>
      <c r="AQ246">
        <f t="shared" si="27"/>
        <v>6</v>
      </c>
      <c r="AR246">
        <f t="shared" si="28"/>
        <v>7</v>
      </c>
      <c r="AS246">
        <f t="shared" si="29"/>
        <v>7</v>
      </c>
      <c r="AT246">
        <f t="shared" si="30"/>
        <v>7</v>
      </c>
      <c r="AU246">
        <f t="shared" si="31"/>
        <v>7</v>
      </c>
      <c r="AV246">
        <f t="shared" si="32"/>
        <v>7</v>
      </c>
      <c r="AW246">
        <f t="shared" si="33"/>
        <v>7</v>
      </c>
      <c r="AX246">
        <f t="shared" si="34"/>
        <v>7</v>
      </c>
      <c r="AY246">
        <f t="shared" si="35"/>
        <v>5</v>
      </c>
    </row>
    <row r="247" spans="38:51" x14ac:dyDescent="0.35">
      <c r="AL247" s="19" t="s">
        <v>397</v>
      </c>
      <c r="AM247">
        <f t="shared" si="23"/>
        <v>7</v>
      </c>
      <c r="AN247">
        <f t="shared" si="24"/>
        <v>7</v>
      </c>
      <c r="AO247">
        <f t="shared" si="25"/>
        <v>7</v>
      </c>
      <c r="AP247">
        <f t="shared" si="26"/>
        <v>6</v>
      </c>
      <c r="AQ247">
        <f t="shared" si="27"/>
        <v>7</v>
      </c>
      <c r="AR247">
        <f t="shared" si="28"/>
        <v>6</v>
      </c>
      <c r="AS247">
        <f t="shared" si="29"/>
        <v>3</v>
      </c>
      <c r="AT247">
        <f t="shared" si="30"/>
        <v>7</v>
      </c>
      <c r="AU247">
        <f t="shared" si="31"/>
        <v>4</v>
      </c>
      <c r="AV247">
        <f t="shared" si="32"/>
        <v>7</v>
      </c>
      <c r="AW247">
        <f t="shared" si="33"/>
        <v>3</v>
      </c>
      <c r="AX247">
        <f t="shared" si="34"/>
        <v>7</v>
      </c>
      <c r="AY247">
        <f t="shared" si="35"/>
        <v>7</v>
      </c>
    </row>
    <row r="248" spans="38:51" x14ac:dyDescent="0.35">
      <c r="AL248" s="19" t="s">
        <v>398</v>
      </c>
      <c r="AM248">
        <f t="shared" si="23"/>
        <v>0</v>
      </c>
      <c r="AN248">
        <f t="shared" si="24"/>
        <v>0</v>
      </c>
      <c r="AO248">
        <f t="shared" si="25"/>
        <v>0</v>
      </c>
      <c r="AP248">
        <f t="shared" si="26"/>
        <v>0</v>
      </c>
      <c r="AQ248">
        <f t="shared" si="27"/>
        <v>0</v>
      </c>
      <c r="AR248">
        <f t="shared" si="28"/>
        <v>0</v>
      </c>
      <c r="AS248">
        <f t="shared" si="29"/>
        <v>0</v>
      </c>
      <c r="AT248">
        <f t="shared" si="30"/>
        <v>0</v>
      </c>
      <c r="AU248">
        <f t="shared" si="31"/>
        <v>0</v>
      </c>
      <c r="AV248">
        <f t="shared" si="32"/>
        <v>0</v>
      </c>
      <c r="AW248">
        <f t="shared" si="33"/>
        <v>0</v>
      </c>
      <c r="AX248">
        <f t="shared" si="34"/>
        <v>0</v>
      </c>
      <c r="AY248">
        <f t="shared" si="35"/>
        <v>0</v>
      </c>
    </row>
    <row r="249" spans="38:51" x14ac:dyDescent="0.35">
      <c r="AL249" s="19" t="s">
        <v>399</v>
      </c>
      <c r="AM249">
        <f t="shared" si="23"/>
        <v>5</v>
      </c>
      <c r="AN249">
        <f t="shared" si="24"/>
        <v>7</v>
      </c>
      <c r="AO249">
        <f t="shared" si="25"/>
        <v>7</v>
      </c>
      <c r="AP249">
        <f t="shared" si="26"/>
        <v>7</v>
      </c>
      <c r="AQ249">
        <f t="shared" si="27"/>
        <v>7</v>
      </c>
      <c r="AR249">
        <f t="shared" si="28"/>
        <v>3</v>
      </c>
      <c r="AS249">
        <f t="shared" si="29"/>
        <v>6</v>
      </c>
      <c r="AT249">
        <f t="shared" si="30"/>
        <v>7</v>
      </c>
      <c r="AU249">
        <f t="shared" si="31"/>
        <v>3</v>
      </c>
      <c r="AV249">
        <f t="shared" si="32"/>
        <v>7</v>
      </c>
      <c r="AW249">
        <f t="shared" si="33"/>
        <v>6</v>
      </c>
      <c r="AX249">
        <f t="shared" si="34"/>
        <v>7</v>
      </c>
      <c r="AY249">
        <f t="shared" si="35"/>
        <v>7</v>
      </c>
    </row>
    <row r="250" spans="38:51" x14ac:dyDescent="0.35">
      <c r="AL250" s="19" t="s">
        <v>400</v>
      </c>
      <c r="AM250">
        <f t="shared" si="23"/>
        <v>7</v>
      </c>
      <c r="AN250">
        <f t="shared" si="24"/>
        <v>7</v>
      </c>
      <c r="AO250">
        <f t="shared" si="25"/>
        <v>7</v>
      </c>
      <c r="AP250">
        <f t="shared" si="26"/>
        <v>4</v>
      </c>
      <c r="AQ250">
        <f t="shared" si="27"/>
        <v>7</v>
      </c>
      <c r="AR250">
        <f t="shared" si="28"/>
        <v>7</v>
      </c>
      <c r="AS250">
        <f t="shared" si="29"/>
        <v>7</v>
      </c>
      <c r="AT250">
        <f t="shared" si="30"/>
        <v>7</v>
      </c>
      <c r="AU250">
        <f t="shared" si="31"/>
        <v>3</v>
      </c>
      <c r="AV250">
        <f t="shared" si="32"/>
        <v>7</v>
      </c>
      <c r="AW250">
        <f t="shared" si="33"/>
        <v>5</v>
      </c>
      <c r="AX250">
        <f t="shared" si="34"/>
        <v>2</v>
      </c>
      <c r="AY250">
        <f t="shared" si="35"/>
        <v>6</v>
      </c>
    </row>
    <row r="251" spans="38:51" x14ac:dyDescent="0.35">
      <c r="AL251" s="19" t="s">
        <v>401</v>
      </c>
      <c r="AM251">
        <f t="shared" si="23"/>
        <v>7</v>
      </c>
      <c r="AN251">
        <f t="shared" si="24"/>
        <v>7</v>
      </c>
      <c r="AO251">
        <f t="shared" si="25"/>
        <v>7</v>
      </c>
      <c r="AP251">
        <f t="shared" si="26"/>
        <v>5</v>
      </c>
      <c r="AQ251">
        <f t="shared" si="27"/>
        <v>7</v>
      </c>
      <c r="AR251">
        <f t="shared" si="28"/>
        <v>7</v>
      </c>
      <c r="AS251">
        <f t="shared" si="29"/>
        <v>7</v>
      </c>
      <c r="AT251">
        <f t="shared" si="30"/>
        <v>7</v>
      </c>
      <c r="AU251">
        <f t="shared" si="31"/>
        <v>5</v>
      </c>
      <c r="AV251">
        <f t="shared" si="32"/>
        <v>6</v>
      </c>
      <c r="AW251">
        <f t="shared" si="33"/>
        <v>5</v>
      </c>
      <c r="AX251">
        <f t="shared" si="34"/>
        <v>5</v>
      </c>
      <c r="AY251">
        <f t="shared" si="35"/>
        <v>7</v>
      </c>
    </row>
    <row r="252" spans="38:51" x14ac:dyDescent="0.35">
      <c r="AL252" s="19" t="s">
        <v>402</v>
      </c>
      <c r="AM252">
        <f t="shared" si="23"/>
        <v>0</v>
      </c>
      <c r="AN252">
        <f t="shared" si="24"/>
        <v>0</v>
      </c>
      <c r="AO252">
        <f t="shared" si="25"/>
        <v>0</v>
      </c>
      <c r="AP252">
        <f t="shared" si="26"/>
        <v>0</v>
      </c>
      <c r="AQ252">
        <f t="shared" si="27"/>
        <v>0</v>
      </c>
      <c r="AR252">
        <f t="shared" si="28"/>
        <v>0</v>
      </c>
      <c r="AS252">
        <f t="shared" si="29"/>
        <v>0</v>
      </c>
      <c r="AT252">
        <f t="shared" si="30"/>
        <v>0</v>
      </c>
      <c r="AU252">
        <f t="shared" si="31"/>
        <v>0</v>
      </c>
      <c r="AV252">
        <f t="shared" si="32"/>
        <v>0</v>
      </c>
      <c r="AW252">
        <f t="shared" si="33"/>
        <v>0</v>
      </c>
      <c r="AX252">
        <f t="shared" si="34"/>
        <v>0</v>
      </c>
      <c r="AY252">
        <f t="shared" si="35"/>
        <v>0</v>
      </c>
    </row>
    <row r="253" spans="38:51" x14ac:dyDescent="0.35">
      <c r="AL253" s="19" t="s">
        <v>403</v>
      </c>
      <c r="AM253">
        <f t="shared" si="23"/>
        <v>1</v>
      </c>
      <c r="AN253">
        <f t="shared" si="24"/>
        <v>5</v>
      </c>
      <c r="AO253">
        <f t="shared" si="25"/>
        <v>5</v>
      </c>
      <c r="AP253">
        <f t="shared" si="26"/>
        <v>3</v>
      </c>
      <c r="AQ253">
        <f t="shared" si="27"/>
        <v>0</v>
      </c>
      <c r="AR253">
        <f t="shared" si="28"/>
        <v>7</v>
      </c>
      <c r="AS253">
        <f t="shared" si="29"/>
        <v>5</v>
      </c>
      <c r="AT253">
        <f t="shared" si="30"/>
        <v>7</v>
      </c>
      <c r="AU253">
        <f t="shared" si="31"/>
        <v>3</v>
      </c>
      <c r="AV253">
        <f t="shared" si="32"/>
        <v>6</v>
      </c>
      <c r="AW253">
        <f t="shared" si="33"/>
        <v>7</v>
      </c>
      <c r="AX253">
        <f t="shared" si="34"/>
        <v>7</v>
      </c>
      <c r="AY253">
        <f t="shared" si="35"/>
        <v>7</v>
      </c>
    </row>
    <row r="254" spans="38:51" x14ac:dyDescent="0.35">
      <c r="AL254" s="19" t="s">
        <v>404</v>
      </c>
      <c r="AM254">
        <f t="shared" si="23"/>
        <v>5</v>
      </c>
      <c r="AN254">
        <f t="shared" si="24"/>
        <v>4</v>
      </c>
      <c r="AO254">
        <f t="shared" si="25"/>
        <v>4</v>
      </c>
      <c r="AP254">
        <f t="shared" si="26"/>
        <v>1</v>
      </c>
      <c r="AQ254">
        <f t="shared" si="27"/>
        <v>4</v>
      </c>
      <c r="AR254">
        <f t="shared" si="28"/>
        <v>5</v>
      </c>
      <c r="AS254">
        <f t="shared" si="29"/>
        <v>5</v>
      </c>
      <c r="AT254">
        <f t="shared" si="30"/>
        <v>1</v>
      </c>
      <c r="AU254">
        <f t="shared" si="31"/>
        <v>0</v>
      </c>
      <c r="AV254">
        <f t="shared" si="32"/>
        <v>7</v>
      </c>
      <c r="AW254">
        <f t="shared" si="33"/>
        <v>5</v>
      </c>
      <c r="AX254">
        <f t="shared" si="34"/>
        <v>6</v>
      </c>
      <c r="AY254">
        <f t="shared" si="35"/>
        <v>5</v>
      </c>
    </row>
    <row r="255" spans="38:51" x14ac:dyDescent="0.35">
      <c r="AL255" s="99" t="s">
        <v>405</v>
      </c>
      <c r="AM255">
        <f t="shared" si="23"/>
        <v>7</v>
      </c>
      <c r="AN255">
        <f t="shared" si="24"/>
        <v>7</v>
      </c>
      <c r="AO255">
        <f t="shared" si="25"/>
        <v>7</v>
      </c>
      <c r="AP255">
        <f t="shared" si="26"/>
        <v>7</v>
      </c>
      <c r="AQ255">
        <f t="shared" si="27"/>
        <v>7</v>
      </c>
      <c r="AR255">
        <f t="shared" si="28"/>
        <v>7</v>
      </c>
      <c r="AS255">
        <f t="shared" si="29"/>
        <v>7</v>
      </c>
      <c r="AT255">
        <f t="shared" si="30"/>
        <v>7</v>
      </c>
      <c r="AU255">
        <f t="shared" si="31"/>
        <v>7</v>
      </c>
      <c r="AV255">
        <f t="shared" si="32"/>
        <v>7</v>
      </c>
      <c r="AW255">
        <f t="shared" si="33"/>
        <v>7</v>
      </c>
      <c r="AX255">
        <f t="shared" si="34"/>
        <v>7</v>
      </c>
      <c r="AY255">
        <f t="shared" si="35"/>
        <v>7</v>
      </c>
    </row>
    <row r="256" spans="38:51" x14ac:dyDescent="0.35">
      <c r="AL256" s="19" t="s">
        <v>406</v>
      </c>
      <c r="AM256">
        <f t="shared" si="23"/>
        <v>0</v>
      </c>
      <c r="AN256">
        <f t="shared" si="24"/>
        <v>4</v>
      </c>
      <c r="AO256">
        <f t="shared" si="25"/>
        <v>4</v>
      </c>
      <c r="AP256">
        <f t="shared" si="26"/>
        <v>1</v>
      </c>
      <c r="AQ256">
        <f t="shared" si="27"/>
        <v>0</v>
      </c>
      <c r="AR256">
        <f t="shared" si="28"/>
        <v>5</v>
      </c>
      <c r="AS256">
        <f t="shared" si="29"/>
        <v>3</v>
      </c>
      <c r="AT256">
        <f t="shared" si="30"/>
        <v>0</v>
      </c>
      <c r="AU256">
        <f t="shared" si="31"/>
        <v>0</v>
      </c>
      <c r="AV256">
        <f t="shared" si="32"/>
        <v>1</v>
      </c>
      <c r="AW256">
        <f t="shared" si="33"/>
        <v>0</v>
      </c>
      <c r="AX256">
        <f t="shared" si="34"/>
        <v>0</v>
      </c>
      <c r="AY256">
        <f t="shared" si="35"/>
        <v>1</v>
      </c>
    </row>
    <row r="257" spans="38:51" x14ac:dyDescent="0.35">
      <c r="AL257" s="19" t="s">
        <v>407</v>
      </c>
      <c r="AM257">
        <f t="shared" si="23"/>
        <v>7</v>
      </c>
      <c r="AN257">
        <f t="shared" si="24"/>
        <v>7</v>
      </c>
      <c r="AO257">
        <f t="shared" si="25"/>
        <v>7</v>
      </c>
      <c r="AP257">
        <f t="shared" si="26"/>
        <v>5</v>
      </c>
      <c r="AQ257">
        <f t="shared" si="27"/>
        <v>7</v>
      </c>
      <c r="AR257">
        <f t="shared" si="28"/>
        <v>7</v>
      </c>
      <c r="AS257">
        <f t="shared" si="29"/>
        <v>7</v>
      </c>
      <c r="AT257">
        <f t="shared" si="30"/>
        <v>7</v>
      </c>
      <c r="AU257">
        <f t="shared" si="31"/>
        <v>2</v>
      </c>
      <c r="AV257">
        <f t="shared" si="32"/>
        <v>7</v>
      </c>
      <c r="AW257">
        <f t="shared" si="33"/>
        <v>6</v>
      </c>
      <c r="AX257">
        <f t="shared" si="34"/>
        <v>7</v>
      </c>
      <c r="AY257">
        <f t="shared" si="35"/>
        <v>7</v>
      </c>
    </row>
    <row r="258" spans="38:51" x14ac:dyDescent="0.35">
      <c r="AL258" s="19" t="s">
        <v>408</v>
      </c>
      <c r="AM258">
        <f t="shared" si="23"/>
        <v>3</v>
      </c>
      <c r="AN258">
        <f t="shared" si="24"/>
        <v>6</v>
      </c>
      <c r="AO258">
        <f t="shared" si="25"/>
        <v>7</v>
      </c>
      <c r="AP258">
        <f t="shared" si="26"/>
        <v>3</v>
      </c>
      <c r="AQ258">
        <f t="shared" si="27"/>
        <v>6</v>
      </c>
      <c r="AR258">
        <f t="shared" si="28"/>
        <v>6</v>
      </c>
      <c r="AS258">
        <f t="shared" si="29"/>
        <v>2</v>
      </c>
      <c r="AT258">
        <f t="shared" si="30"/>
        <v>0</v>
      </c>
      <c r="AU258">
        <f t="shared" si="31"/>
        <v>0</v>
      </c>
      <c r="AV258">
        <f t="shared" si="32"/>
        <v>2</v>
      </c>
      <c r="AW258">
        <f t="shared" si="33"/>
        <v>5</v>
      </c>
      <c r="AX258">
        <f t="shared" si="34"/>
        <v>1</v>
      </c>
      <c r="AY258">
        <f t="shared" si="35"/>
        <v>5</v>
      </c>
    </row>
    <row r="259" spans="38:51" x14ac:dyDescent="0.35">
      <c r="AL259" s="19" t="s">
        <v>409</v>
      </c>
      <c r="AM259">
        <f t="shared" si="23"/>
        <v>7</v>
      </c>
      <c r="AN259">
        <f t="shared" si="24"/>
        <v>7</v>
      </c>
      <c r="AO259">
        <f t="shared" si="25"/>
        <v>7</v>
      </c>
      <c r="AP259">
        <f t="shared" si="26"/>
        <v>6</v>
      </c>
      <c r="AQ259">
        <f t="shared" si="27"/>
        <v>7</v>
      </c>
      <c r="AR259">
        <f t="shared" si="28"/>
        <v>7</v>
      </c>
      <c r="AS259">
        <f t="shared" si="29"/>
        <v>7</v>
      </c>
      <c r="AT259">
        <f t="shared" si="30"/>
        <v>7</v>
      </c>
      <c r="AU259">
        <f t="shared" si="31"/>
        <v>5</v>
      </c>
      <c r="AV259">
        <f t="shared" si="32"/>
        <v>7</v>
      </c>
      <c r="AW259">
        <f t="shared" si="33"/>
        <v>7</v>
      </c>
      <c r="AX259">
        <f t="shared" si="34"/>
        <v>7</v>
      </c>
      <c r="AY259">
        <f t="shared" si="35"/>
        <v>7</v>
      </c>
    </row>
    <row r="260" spans="38:51" x14ac:dyDescent="0.35">
      <c r="AL260" s="19" t="s">
        <v>410</v>
      </c>
      <c r="AM260">
        <f t="shared" si="23"/>
        <v>4</v>
      </c>
      <c r="AN260">
        <f t="shared" si="24"/>
        <v>7</v>
      </c>
      <c r="AO260">
        <f t="shared" si="25"/>
        <v>6</v>
      </c>
      <c r="AP260">
        <f t="shared" si="26"/>
        <v>1</v>
      </c>
      <c r="AQ260">
        <f t="shared" si="27"/>
        <v>1</v>
      </c>
      <c r="AR260">
        <f t="shared" si="28"/>
        <v>7</v>
      </c>
      <c r="AS260">
        <f t="shared" si="29"/>
        <v>7</v>
      </c>
      <c r="AT260">
        <f t="shared" si="30"/>
        <v>4</v>
      </c>
      <c r="AU260">
        <f t="shared" si="31"/>
        <v>0</v>
      </c>
      <c r="AV260">
        <f t="shared" si="32"/>
        <v>5</v>
      </c>
      <c r="AW260">
        <f t="shared" si="33"/>
        <v>2</v>
      </c>
      <c r="AX260">
        <f t="shared" si="34"/>
        <v>4</v>
      </c>
      <c r="AY260">
        <f t="shared" si="35"/>
        <v>4</v>
      </c>
    </row>
    <row r="261" spans="38:51" x14ac:dyDescent="0.35">
      <c r="AL261" s="19" t="s">
        <v>411</v>
      </c>
      <c r="AM261">
        <f t="shared" si="23"/>
        <v>4</v>
      </c>
      <c r="AN261">
        <f t="shared" si="24"/>
        <v>7</v>
      </c>
      <c r="AO261">
        <f t="shared" si="25"/>
        <v>6</v>
      </c>
      <c r="AP261">
        <f t="shared" si="26"/>
        <v>3</v>
      </c>
      <c r="AQ261">
        <f t="shared" si="27"/>
        <v>6</v>
      </c>
      <c r="AR261">
        <f t="shared" si="28"/>
        <v>5</v>
      </c>
      <c r="AS261">
        <f t="shared" si="29"/>
        <v>5</v>
      </c>
      <c r="AT261">
        <f t="shared" si="30"/>
        <v>7</v>
      </c>
      <c r="AU261">
        <f t="shared" si="31"/>
        <v>0</v>
      </c>
      <c r="AV261">
        <f t="shared" si="32"/>
        <v>5</v>
      </c>
      <c r="AW261">
        <f t="shared" si="33"/>
        <v>4</v>
      </c>
      <c r="AX261">
        <f t="shared" si="34"/>
        <v>3</v>
      </c>
      <c r="AY261">
        <f t="shared" si="35"/>
        <v>3</v>
      </c>
    </row>
    <row r="262" spans="38:51" x14ac:dyDescent="0.35">
      <c r="AL262" s="19" t="s">
        <v>412</v>
      </c>
      <c r="AM262">
        <f t="shared" si="23"/>
        <v>5</v>
      </c>
      <c r="AN262">
        <f t="shared" si="24"/>
        <v>7</v>
      </c>
      <c r="AO262">
        <f t="shared" si="25"/>
        <v>5</v>
      </c>
      <c r="AP262">
        <f t="shared" si="26"/>
        <v>1</v>
      </c>
      <c r="AQ262">
        <f t="shared" si="27"/>
        <v>0</v>
      </c>
      <c r="AR262">
        <f t="shared" si="28"/>
        <v>1</v>
      </c>
      <c r="AS262">
        <f t="shared" si="29"/>
        <v>4</v>
      </c>
      <c r="AT262">
        <f t="shared" si="30"/>
        <v>6</v>
      </c>
      <c r="AU262">
        <f t="shared" si="31"/>
        <v>0</v>
      </c>
      <c r="AV262">
        <f t="shared" si="32"/>
        <v>4</v>
      </c>
      <c r="AW262">
        <f t="shared" si="33"/>
        <v>0</v>
      </c>
      <c r="AX262">
        <f t="shared" si="34"/>
        <v>0</v>
      </c>
      <c r="AY262">
        <f t="shared" si="35"/>
        <v>4</v>
      </c>
    </row>
    <row r="263" spans="38:51" x14ac:dyDescent="0.35">
      <c r="AL263" s="19" t="s">
        <v>413</v>
      </c>
      <c r="AM263">
        <f t="shared" si="23"/>
        <v>5</v>
      </c>
      <c r="AN263">
        <f t="shared" si="24"/>
        <v>5</v>
      </c>
      <c r="AO263">
        <f t="shared" si="25"/>
        <v>4</v>
      </c>
      <c r="AP263">
        <f t="shared" si="26"/>
        <v>1</v>
      </c>
      <c r="AQ263">
        <f t="shared" si="27"/>
        <v>0</v>
      </c>
      <c r="AR263">
        <f t="shared" si="28"/>
        <v>3</v>
      </c>
      <c r="AS263">
        <f t="shared" si="29"/>
        <v>3</v>
      </c>
      <c r="AT263">
        <f t="shared" si="30"/>
        <v>0</v>
      </c>
      <c r="AU263">
        <f t="shared" si="31"/>
        <v>0</v>
      </c>
      <c r="AV263">
        <f t="shared" si="32"/>
        <v>0</v>
      </c>
      <c r="AW263">
        <f t="shared" si="33"/>
        <v>0</v>
      </c>
      <c r="AX263">
        <f t="shared" si="34"/>
        <v>0</v>
      </c>
      <c r="AY263">
        <f t="shared" si="35"/>
        <v>1</v>
      </c>
    </row>
    <row r="264" spans="38:51" x14ac:dyDescent="0.35">
      <c r="AL264" s="19" t="s">
        <v>414</v>
      </c>
      <c r="AM264">
        <f t="shared" si="23"/>
        <v>1</v>
      </c>
      <c r="AN264">
        <f t="shared" si="24"/>
        <v>1</v>
      </c>
      <c r="AO264">
        <f t="shared" si="25"/>
        <v>3</v>
      </c>
      <c r="AP264">
        <f t="shared" si="26"/>
        <v>0</v>
      </c>
      <c r="AQ264">
        <f t="shared" si="27"/>
        <v>0</v>
      </c>
      <c r="AR264">
        <f t="shared" si="28"/>
        <v>1</v>
      </c>
      <c r="AS264">
        <f t="shared" si="29"/>
        <v>0</v>
      </c>
      <c r="AT264">
        <f t="shared" si="30"/>
        <v>0</v>
      </c>
      <c r="AU264">
        <f t="shared" si="31"/>
        <v>0</v>
      </c>
      <c r="AV264">
        <f t="shared" si="32"/>
        <v>0</v>
      </c>
      <c r="AW264">
        <f t="shared" si="33"/>
        <v>0</v>
      </c>
      <c r="AX264">
        <f t="shared" si="34"/>
        <v>0</v>
      </c>
      <c r="AY264">
        <f t="shared" si="35"/>
        <v>0</v>
      </c>
    </row>
    <row r="265" spans="38:51" x14ac:dyDescent="0.35">
      <c r="AL265" s="19" t="s">
        <v>415</v>
      </c>
      <c r="AM265">
        <f t="shared" si="23"/>
        <v>4</v>
      </c>
      <c r="AN265">
        <f t="shared" si="24"/>
        <v>7</v>
      </c>
      <c r="AO265">
        <f t="shared" si="25"/>
        <v>6</v>
      </c>
      <c r="AP265">
        <f t="shared" si="26"/>
        <v>1</v>
      </c>
      <c r="AQ265">
        <f t="shared" si="27"/>
        <v>5</v>
      </c>
      <c r="AR265">
        <f t="shared" si="28"/>
        <v>7</v>
      </c>
      <c r="AS265">
        <f t="shared" si="29"/>
        <v>7</v>
      </c>
      <c r="AT265">
        <f t="shared" si="30"/>
        <v>7</v>
      </c>
      <c r="AU265">
        <f t="shared" si="31"/>
        <v>0</v>
      </c>
      <c r="AV265">
        <f t="shared" si="32"/>
        <v>6</v>
      </c>
      <c r="AW265">
        <f t="shared" si="33"/>
        <v>6</v>
      </c>
      <c r="AX265">
        <f t="shared" si="34"/>
        <v>7</v>
      </c>
      <c r="AY265">
        <f t="shared" si="35"/>
        <v>7</v>
      </c>
    </row>
    <row r="266" spans="38:51" x14ac:dyDescent="0.35">
      <c r="AL266" s="19" t="s">
        <v>416</v>
      </c>
      <c r="AM266">
        <f t="shared" si="23"/>
        <v>7</v>
      </c>
      <c r="AN266">
        <f t="shared" si="24"/>
        <v>7</v>
      </c>
      <c r="AO266">
        <f t="shared" si="25"/>
        <v>6</v>
      </c>
      <c r="AP266">
        <f t="shared" si="26"/>
        <v>3</v>
      </c>
      <c r="AQ266">
        <f t="shared" si="27"/>
        <v>1</v>
      </c>
      <c r="AR266">
        <f t="shared" si="28"/>
        <v>0</v>
      </c>
      <c r="AS266">
        <f t="shared" si="29"/>
        <v>0</v>
      </c>
      <c r="AT266">
        <f t="shared" si="30"/>
        <v>1</v>
      </c>
      <c r="AU266">
        <f t="shared" si="31"/>
        <v>0</v>
      </c>
      <c r="AV266">
        <f t="shared" si="32"/>
        <v>7</v>
      </c>
      <c r="AW266">
        <f t="shared" si="33"/>
        <v>7</v>
      </c>
      <c r="AX266">
        <f t="shared" si="34"/>
        <v>7</v>
      </c>
      <c r="AY266">
        <f t="shared" si="35"/>
        <v>7</v>
      </c>
    </row>
    <row r="267" spans="38:51" x14ac:dyDescent="0.35">
      <c r="AL267" s="19" t="s">
        <v>417</v>
      </c>
      <c r="AM267">
        <f t="shared" si="23"/>
        <v>7</v>
      </c>
      <c r="AN267">
        <f t="shared" si="24"/>
        <v>7</v>
      </c>
      <c r="AO267">
        <f t="shared" si="25"/>
        <v>7</v>
      </c>
      <c r="AP267">
        <f t="shared" si="26"/>
        <v>4</v>
      </c>
      <c r="AQ267">
        <f t="shared" si="27"/>
        <v>7</v>
      </c>
      <c r="AR267">
        <f t="shared" si="28"/>
        <v>7</v>
      </c>
      <c r="AS267">
        <f t="shared" si="29"/>
        <v>7</v>
      </c>
      <c r="AT267">
        <f t="shared" si="30"/>
        <v>7</v>
      </c>
      <c r="AU267">
        <f t="shared" si="31"/>
        <v>7</v>
      </c>
      <c r="AV267">
        <f t="shared" si="32"/>
        <v>7</v>
      </c>
      <c r="AW267">
        <f t="shared" si="33"/>
        <v>7</v>
      </c>
      <c r="AX267">
        <f t="shared" si="34"/>
        <v>7</v>
      </c>
      <c r="AY267">
        <f t="shared" si="35"/>
        <v>7</v>
      </c>
    </row>
    <row r="268" spans="38:51" x14ac:dyDescent="0.35">
      <c r="AL268" s="19" t="s">
        <v>418</v>
      </c>
      <c r="AM268">
        <f t="shared" si="23"/>
        <v>5</v>
      </c>
      <c r="AN268">
        <f t="shared" si="24"/>
        <v>7</v>
      </c>
      <c r="AO268">
        <f t="shared" si="25"/>
        <v>6</v>
      </c>
      <c r="AP268">
        <f t="shared" si="26"/>
        <v>7</v>
      </c>
      <c r="AQ268">
        <f t="shared" si="27"/>
        <v>7</v>
      </c>
      <c r="AR268">
        <f t="shared" si="28"/>
        <v>7</v>
      </c>
      <c r="AS268">
        <f t="shared" si="29"/>
        <v>5</v>
      </c>
      <c r="AT268">
        <f t="shared" si="30"/>
        <v>7</v>
      </c>
      <c r="AU268">
        <f t="shared" si="31"/>
        <v>0</v>
      </c>
      <c r="AV268">
        <f t="shared" si="32"/>
        <v>5</v>
      </c>
      <c r="AW268">
        <f t="shared" si="33"/>
        <v>3</v>
      </c>
      <c r="AX268">
        <f t="shared" si="34"/>
        <v>2</v>
      </c>
      <c r="AY268">
        <f t="shared" si="35"/>
        <v>5</v>
      </c>
    </row>
    <row r="269" spans="38:51" x14ac:dyDescent="0.35">
      <c r="AL269" s="19" t="s">
        <v>419</v>
      </c>
      <c r="AM269">
        <f t="shared" si="23"/>
        <v>1</v>
      </c>
      <c r="AN269">
        <f t="shared" si="24"/>
        <v>3</v>
      </c>
      <c r="AO269">
        <f t="shared" si="25"/>
        <v>5</v>
      </c>
      <c r="AP269">
        <f t="shared" si="26"/>
        <v>0</v>
      </c>
      <c r="AQ269">
        <f t="shared" si="27"/>
        <v>1</v>
      </c>
      <c r="AR269">
        <f t="shared" si="28"/>
        <v>2</v>
      </c>
      <c r="AS269">
        <f t="shared" si="29"/>
        <v>1</v>
      </c>
      <c r="AT269">
        <f t="shared" si="30"/>
        <v>1</v>
      </c>
      <c r="AU269">
        <f t="shared" si="31"/>
        <v>0</v>
      </c>
      <c r="AV269">
        <f t="shared" si="32"/>
        <v>0</v>
      </c>
      <c r="AW269">
        <f t="shared" si="33"/>
        <v>0</v>
      </c>
      <c r="AX269">
        <f t="shared" si="34"/>
        <v>0</v>
      </c>
      <c r="AY269">
        <f t="shared" si="35"/>
        <v>0</v>
      </c>
    </row>
    <row r="270" spans="38:51" x14ac:dyDescent="0.35">
      <c r="AL270" s="19" t="s">
        <v>420</v>
      </c>
      <c r="AM270">
        <f t="shared" si="23"/>
        <v>4</v>
      </c>
      <c r="AN270">
        <f t="shared" si="24"/>
        <v>7</v>
      </c>
      <c r="AO270">
        <f t="shared" si="25"/>
        <v>7</v>
      </c>
      <c r="AP270">
        <f t="shared" si="26"/>
        <v>2</v>
      </c>
      <c r="AQ270">
        <f t="shared" si="27"/>
        <v>6</v>
      </c>
      <c r="AR270">
        <f t="shared" si="28"/>
        <v>5</v>
      </c>
      <c r="AS270">
        <f t="shared" si="29"/>
        <v>7</v>
      </c>
      <c r="AT270">
        <f t="shared" si="30"/>
        <v>6</v>
      </c>
      <c r="AU270">
        <f t="shared" si="31"/>
        <v>1</v>
      </c>
      <c r="AV270">
        <f t="shared" si="32"/>
        <v>7</v>
      </c>
      <c r="AW270">
        <f t="shared" si="33"/>
        <v>6</v>
      </c>
      <c r="AX270">
        <f t="shared" si="34"/>
        <v>7</v>
      </c>
      <c r="AY270">
        <f t="shared" si="35"/>
        <v>7</v>
      </c>
    </row>
    <row r="271" spans="38:51" x14ac:dyDescent="0.35">
      <c r="AL271" s="19" t="s">
        <v>421</v>
      </c>
      <c r="AM271">
        <f t="shared" si="23"/>
        <v>6</v>
      </c>
      <c r="AN271">
        <f t="shared" si="24"/>
        <v>7</v>
      </c>
      <c r="AO271">
        <f t="shared" si="25"/>
        <v>7</v>
      </c>
      <c r="AP271">
        <f t="shared" si="26"/>
        <v>7</v>
      </c>
      <c r="AQ271">
        <f t="shared" si="27"/>
        <v>7</v>
      </c>
      <c r="AR271">
        <f t="shared" si="28"/>
        <v>7</v>
      </c>
      <c r="AS271">
        <f t="shared" si="29"/>
        <v>6</v>
      </c>
      <c r="AT271">
        <f t="shared" si="30"/>
        <v>7</v>
      </c>
      <c r="AU271">
        <f t="shared" si="31"/>
        <v>6</v>
      </c>
      <c r="AV271">
        <f t="shared" si="32"/>
        <v>6</v>
      </c>
      <c r="AW271">
        <f t="shared" si="33"/>
        <v>5</v>
      </c>
      <c r="AX271">
        <f t="shared" si="34"/>
        <v>5</v>
      </c>
      <c r="AY271">
        <f t="shared" si="35"/>
        <v>7</v>
      </c>
    </row>
    <row r="272" spans="38:51" x14ac:dyDescent="0.35">
      <c r="AL272" s="19" t="s">
        <v>422</v>
      </c>
      <c r="AM272">
        <f t="shared" si="23"/>
        <v>7</v>
      </c>
      <c r="AN272">
        <f t="shared" si="24"/>
        <v>7</v>
      </c>
      <c r="AO272">
        <f t="shared" si="25"/>
        <v>7</v>
      </c>
      <c r="AP272">
        <f t="shared" si="26"/>
        <v>6</v>
      </c>
      <c r="AQ272">
        <f t="shared" si="27"/>
        <v>7</v>
      </c>
      <c r="AR272">
        <f t="shared" si="28"/>
        <v>7</v>
      </c>
      <c r="AS272">
        <f t="shared" si="29"/>
        <v>7</v>
      </c>
      <c r="AT272">
        <f t="shared" si="30"/>
        <v>7</v>
      </c>
      <c r="AU272">
        <f t="shared" si="31"/>
        <v>6</v>
      </c>
      <c r="AV272">
        <f t="shared" si="32"/>
        <v>7</v>
      </c>
      <c r="AW272">
        <f t="shared" si="33"/>
        <v>7</v>
      </c>
      <c r="AX272">
        <f t="shared" si="34"/>
        <v>7</v>
      </c>
      <c r="AY272">
        <f t="shared" si="35"/>
        <v>7</v>
      </c>
    </row>
    <row r="273" spans="38:51" x14ac:dyDescent="0.35">
      <c r="AL273" s="19" t="s">
        <v>423</v>
      </c>
      <c r="AM273">
        <f t="shared" si="23"/>
        <v>5</v>
      </c>
      <c r="AN273">
        <f t="shared" si="24"/>
        <v>7</v>
      </c>
      <c r="AO273">
        <f t="shared" si="25"/>
        <v>7</v>
      </c>
      <c r="AP273">
        <f t="shared" si="26"/>
        <v>2</v>
      </c>
      <c r="AQ273">
        <f t="shared" si="27"/>
        <v>7</v>
      </c>
      <c r="AR273">
        <f t="shared" si="28"/>
        <v>7</v>
      </c>
      <c r="AS273">
        <f t="shared" si="29"/>
        <v>4</v>
      </c>
      <c r="AT273">
        <f t="shared" si="30"/>
        <v>7</v>
      </c>
      <c r="AU273">
        <f t="shared" si="31"/>
        <v>0</v>
      </c>
      <c r="AV273">
        <f t="shared" si="32"/>
        <v>6</v>
      </c>
      <c r="AW273">
        <f t="shared" si="33"/>
        <v>7</v>
      </c>
      <c r="AX273">
        <f t="shared" si="34"/>
        <v>7</v>
      </c>
      <c r="AY273">
        <f t="shared" si="35"/>
        <v>7</v>
      </c>
    </row>
    <row r="274" spans="38:51" x14ac:dyDescent="0.35">
      <c r="AL274" s="19" t="s">
        <v>424</v>
      </c>
      <c r="AM274">
        <f t="shared" si="23"/>
        <v>7</v>
      </c>
      <c r="AN274">
        <f t="shared" si="24"/>
        <v>7</v>
      </c>
      <c r="AO274">
        <f t="shared" si="25"/>
        <v>7</v>
      </c>
      <c r="AP274">
        <f t="shared" si="26"/>
        <v>6</v>
      </c>
      <c r="AQ274">
        <f t="shared" si="27"/>
        <v>7</v>
      </c>
      <c r="AR274">
        <f t="shared" si="28"/>
        <v>7</v>
      </c>
      <c r="AS274">
        <f t="shared" si="29"/>
        <v>7</v>
      </c>
      <c r="AT274">
        <f t="shared" si="30"/>
        <v>7</v>
      </c>
      <c r="AU274">
        <f t="shared" si="31"/>
        <v>3</v>
      </c>
      <c r="AV274">
        <f t="shared" si="32"/>
        <v>7</v>
      </c>
      <c r="AW274">
        <f t="shared" si="33"/>
        <v>7</v>
      </c>
      <c r="AX274">
        <f t="shared" si="34"/>
        <v>7</v>
      </c>
      <c r="AY274">
        <f t="shared" si="35"/>
        <v>7</v>
      </c>
    </row>
    <row r="275" spans="38:51" x14ac:dyDescent="0.35">
      <c r="AL275" s="19" t="s">
        <v>425</v>
      </c>
      <c r="AM275">
        <f t="shared" si="23"/>
        <v>6</v>
      </c>
      <c r="AN275">
        <f t="shared" si="24"/>
        <v>7</v>
      </c>
      <c r="AO275">
        <f t="shared" si="25"/>
        <v>6</v>
      </c>
      <c r="AP275">
        <f t="shared" si="26"/>
        <v>3</v>
      </c>
      <c r="AQ275">
        <f t="shared" si="27"/>
        <v>6</v>
      </c>
      <c r="AR275">
        <f t="shared" si="28"/>
        <v>5</v>
      </c>
      <c r="AS275">
        <f t="shared" si="29"/>
        <v>3</v>
      </c>
      <c r="AT275">
        <f t="shared" si="30"/>
        <v>0</v>
      </c>
      <c r="AU275">
        <f t="shared" si="31"/>
        <v>0</v>
      </c>
      <c r="AV275">
        <f t="shared" si="32"/>
        <v>0</v>
      </c>
      <c r="AW275">
        <f t="shared" si="33"/>
        <v>0</v>
      </c>
      <c r="AX275">
        <f t="shared" si="34"/>
        <v>0</v>
      </c>
      <c r="AY275">
        <f t="shared" si="35"/>
        <v>0</v>
      </c>
    </row>
    <row r="276" spans="38:51" x14ac:dyDescent="0.35">
      <c r="AL276" s="19" t="s">
        <v>426</v>
      </c>
      <c r="AM276">
        <f t="shared" si="23"/>
        <v>7</v>
      </c>
      <c r="AN276">
        <f t="shared" si="24"/>
        <v>7</v>
      </c>
      <c r="AO276">
        <f t="shared" si="25"/>
        <v>5</v>
      </c>
      <c r="AP276">
        <f t="shared" si="26"/>
        <v>5</v>
      </c>
      <c r="AQ276">
        <f t="shared" si="27"/>
        <v>6</v>
      </c>
      <c r="AR276">
        <f t="shared" si="28"/>
        <v>7</v>
      </c>
      <c r="AS276">
        <f t="shared" si="29"/>
        <v>7</v>
      </c>
      <c r="AT276">
        <f t="shared" si="30"/>
        <v>7</v>
      </c>
      <c r="AU276">
        <f t="shared" si="31"/>
        <v>2</v>
      </c>
      <c r="AV276">
        <f t="shared" si="32"/>
        <v>7</v>
      </c>
      <c r="AW276">
        <f t="shared" si="33"/>
        <v>6</v>
      </c>
      <c r="AX276">
        <f t="shared" si="34"/>
        <v>7</v>
      </c>
      <c r="AY276">
        <f t="shared" si="35"/>
        <v>7</v>
      </c>
    </row>
    <row r="277" spans="38:51" x14ac:dyDescent="0.35">
      <c r="AL277" s="19" t="s">
        <v>427</v>
      </c>
      <c r="AM277">
        <f t="shared" si="23"/>
        <v>4</v>
      </c>
      <c r="AN277">
        <f t="shared" si="24"/>
        <v>7</v>
      </c>
      <c r="AO277">
        <f>COUNTIF($BC134:$BI134,"&gt;=85%")</f>
        <v>7</v>
      </c>
      <c r="AP277">
        <f t="shared" si="26"/>
        <v>3</v>
      </c>
      <c r="AQ277">
        <f t="shared" si="27"/>
        <v>4</v>
      </c>
      <c r="AR277">
        <f t="shared" si="28"/>
        <v>7</v>
      </c>
      <c r="AS277">
        <f t="shared" si="29"/>
        <v>7</v>
      </c>
      <c r="AT277">
        <f t="shared" si="30"/>
        <v>7</v>
      </c>
      <c r="AU277">
        <f t="shared" si="31"/>
        <v>0</v>
      </c>
      <c r="AV277">
        <f t="shared" si="32"/>
        <v>3</v>
      </c>
      <c r="AW277">
        <f t="shared" si="33"/>
        <v>0</v>
      </c>
      <c r="AX277">
        <f t="shared" si="34"/>
        <v>1</v>
      </c>
      <c r="AY277">
        <f t="shared" si="35"/>
        <v>2</v>
      </c>
    </row>
    <row r="278" spans="38:51" x14ac:dyDescent="0.35">
      <c r="AL278" s="19"/>
    </row>
    <row r="279" spans="38:51" x14ac:dyDescent="0.35">
      <c r="AL279" s="19"/>
    </row>
    <row r="280" spans="38:51" x14ac:dyDescent="0.35">
      <c r="AL280" s="19"/>
    </row>
    <row r="281" spans="38:51" x14ac:dyDescent="0.35">
      <c r="AL281" s="19"/>
    </row>
    <row r="282" spans="38:51" x14ac:dyDescent="0.35">
      <c r="AL282" s="19"/>
    </row>
    <row r="283" spans="38:51" x14ac:dyDescent="0.35">
      <c r="AL283" s="99"/>
    </row>
    <row r="284" spans="38:51" x14ac:dyDescent="0.35">
      <c r="AL284" s="19"/>
    </row>
    <row r="285" spans="38:51" x14ac:dyDescent="0.35">
      <c r="AL285" s="19"/>
    </row>
    <row r="286" spans="38:51" x14ac:dyDescent="0.35">
      <c r="AL286" s="19"/>
    </row>
    <row r="287" spans="38:51" x14ac:dyDescent="0.35">
      <c r="AL287" s="19"/>
    </row>
    <row r="289" spans="38:52" x14ac:dyDescent="0.35">
      <c r="AQ289" s="27"/>
    </row>
    <row r="290" spans="38:52" x14ac:dyDescent="0.35">
      <c r="AL290" s="16" t="s">
        <v>204</v>
      </c>
      <c r="AM290" s="27" t="s">
        <v>43</v>
      </c>
      <c r="AN290" s="27" t="s">
        <v>44</v>
      </c>
      <c r="AO290" s="27" t="s">
        <v>45</v>
      </c>
      <c r="AP290" s="27" t="s">
        <v>46</v>
      </c>
      <c r="AQ290" s="27" t="s">
        <v>47</v>
      </c>
      <c r="AR290" s="27" t="s">
        <v>48</v>
      </c>
      <c r="AS290" s="27" t="s">
        <v>49</v>
      </c>
      <c r="AT290" s="27" t="s">
        <v>50</v>
      </c>
      <c r="AU290" s="27" t="s">
        <v>51</v>
      </c>
      <c r="AV290" s="27" t="s">
        <v>52</v>
      </c>
      <c r="AW290" s="27" t="s">
        <v>53</v>
      </c>
      <c r="AX290" s="27" t="s">
        <v>54</v>
      </c>
      <c r="AY290" s="27" t="s">
        <v>55</v>
      </c>
      <c r="AZ290" s="27"/>
    </row>
    <row r="291" spans="38:52" x14ac:dyDescent="0.35">
      <c r="AL291" s="16" t="s">
        <v>36</v>
      </c>
      <c r="AM291" s="27">
        <f>IF((COUNTIF(AM292:AM425,"&gt;0"))=0, "", (COUNTIF(AM292:AM425,"&gt;0")))</f>
        <v>26</v>
      </c>
      <c r="AN291" s="27">
        <f>IF((COUNTIF(AN292:AN425,"&gt;0"))=0, "", (COUNTIF(AN292:AN425,"&gt;0")))</f>
        <v>38</v>
      </c>
      <c r="AO291" s="27">
        <f t="shared" ref="AO291:AY291" si="36">IF((COUNTIF(AO292:AO425,"&gt;0"))=0, "", (COUNTIF(AO292:AO425,"&gt;0")))</f>
        <v>37</v>
      </c>
      <c r="AP291" s="27">
        <f t="shared" si="36"/>
        <v>20</v>
      </c>
      <c r="AQ291" s="27">
        <f t="shared" si="36"/>
        <v>31</v>
      </c>
      <c r="AR291" s="27">
        <f t="shared" si="36"/>
        <v>39</v>
      </c>
      <c r="AS291" s="27">
        <f t="shared" si="36"/>
        <v>31</v>
      </c>
      <c r="AT291" s="27">
        <f t="shared" si="36"/>
        <v>33</v>
      </c>
      <c r="AU291" s="27">
        <f t="shared" si="36"/>
        <v>25</v>
      </c>
      <c r="AV291" s="27">
        <f t="shared" si="36"/>
        <v>20</v>
      </c>
      <c r="AW291" s="27">
        <f t="shared" si="36"/>
        <v>10</v>
      </c>
      <c r="AX291" s="27">
        <f t="shared" si="36"/>
        <v>12</v>
      </c>
      <c r="AY291" s="27">
        <f t="shared" si="36"/>
        <v>15</v>
      </c>
      <c r="AZ291" s="27" t="str">
        <f t="shared" ref="AZ291" si="37">IF(COUNTIF(AZ292:AZ425,"&gt;0")=0,"",COUNTIF(AZ292:AZ425,"&gt;0"))</f>
        <v/>
      </c>
    </row>
    <row r="292" spans="38:52" x14ac:dyDescent="0.35">
      <c r="AL292" s="19" t="s">
        <v>301</v>
      </c>
      <c r="AM292">
        <f>COUNTIF($AM8:$AS8,"&gt;=95%")</f>
        <v>0</v>
      </c>
      <c r="AN292">
        <f>COUNTIF($AU8:$BA8,"&gt;=95%")</f>
        <v>0</v>
      </c>
      <c r="AO292">
        <f>COUNTIF($BC8:$BI8,"&gt;=95%")</f>
        <v>0</v>
      </c>
      <c r="AP292">
        <f>COUNTIF($BK8:$BQ8,"&gt;=95%")</f>
        <v>0</v>
      </c>
      <c r="AQ292">
        <f>COUNTIF($BS8:$BY8,"&gt;=95%")</f>
        <v>0</v>
      </c>
      <c r="AR292">
        <f>COUNTIF($CA8:$CG8,"&gt;=95%")</f>
        <v>0</v>
      </c>
      <c r="AS292">
        <f>COUNTIF($CI8:$CO8,"&gt;=95%")</f>
        <v>0</v>
      </c>
      <c r="AT292">
        <f>COUNTIF($CQ8:$CW8,"&gt;=95%")</f>
        <v>0</v>
      </c>
      <c r="AU292">
        <f>COUNTIF($CY8:$DE8,"&gt;=95%")</f>
        <v>0</v>
      </c>
      <c r="AV292">
        <f>COUNTIF($DG8:$DM8,"&gt;=95%")</f>
        <v>0</v>
      </c>
      <c r="AW292">
        <f>COUNTIF($DO8:$DU8,"&gt;=95%")</f>
        <v>0</v>
      </c>
      <c r="AX292">
        <f>COUNTIF($DW8:$EC8,"&gt;=95%")</f>
        <v>0</v>
      </c>
      <c r="AY292">
        <f>COUNTIF($EE8:$EK8,"&gt;=95%")</f>
        <v>0</v>
      </c>
    </row>
    <row r="293" spans="38:52" x14ac:dyDescent="0.35">
      <c r="AL293" s="19" t="s">
        <v>302</v>
      </c>
      <c r="AM293">
        <f t="shared" ref="AM293:AM356" si="38">COUNTIF($AM9:$AS9,"&gt;=95%")</f>
        <v>0</v>
      </c>
      <c r="AN293">
        <f>COUNTIF($AU9:$BA9,"&gt;=95%")</f>
        <v>0</v>
      </c>
      <c r="AO293">
        <f t="shared" ref="AO293:AO356" si="39">COUNTIF($BC9:$BI9,"&gt;=95%")</f>
        <v>0</v>
      </c>
      <c r="AP293">
        <f t="shared" ref="AP293:AP356" si="40">COUNTIF($BK9:$BQ9,"&gt;=95%")</f>
        <v>0</v>
      </c>
      <c r="AQ293">
        <f t="shared" ref="AQ293:AQ356" si="41">COUNTIF($BS9:$BY9,"&gt;=95%")</f>
        <v>0</v>
      </c>
      <c r="AR293">
        <f t="shared" ref="AR293:AR356" si="42">COUNTIF($CA9:$CG9,"&gt;=95%")</f>
        <v>0</v>
      </c>
      <c r="AS293">
        <f t="shared" ref="AS293:AS356" si="43">COUNTIF($CI9:$CO9,"&gt;=95%")</f>
        <v>0</v>
      </c>
      <c r="AT293">
        <f t="shared" ref="AT293:AT356" si="44">COUNTIF($CQ9:$CW9,"&gt;=95%")</f>
        <v>0</v>
      </c>
      <c r="AU293">
        <f t="shared" ref="AU293:AU356" si="45">COUNTIF($CY9:$DE9,"&gt;=95%")</f>
        <v>0</v>
      </c>
      <c r="AV293">
        <f t="shared" ref="AV293:AV356" si="46">COUNTIF($DG9:$DM9,"&gt;=95%")</f>
        <v>0</v>
      </c>
      <c r="AW293">
        <f t="shared" ref="AW293:AW356" si="47">COUNTIF($DO9:$DU9,"&gt;=95%")</f>
        <v>0</v>
      </c>
      <c r="AX293">
        <f t="shared" ref="AX293:AX356" si="48">COUNTIF($DW9:$EC9,"&gt;=95%")</f>
        <v>0</v>
      </c>
      <c r="AY293">
        <f t="shared" ref="AY293:AY356" si="49">COUNTIF($EE9:$EK9,"&gt;=95%")</f>
        <v>0</v>
      </c>
    </row>
    <row r="294" spans="38:52" x14ac:dyDescent="0.35">
      <c r="AL294" s="19" t="s">
        <v>303</v>
      </c>
      <c r="AM294">
        <f t="shared" si="38"/>
        <v>0</v>
      </c>
      <c r="AN294">
        <f t="shared" ref="AN294:AN356" si="50">COUNTIF($AU10:$BA10,"&gt;=95%")</f>
        <v>3</v>
      </c>
      <c r="AO294">
        <f t="shared" si="39"/>
        <v>0</v>
      </c>
      <c r="AP294">
        <f t="shared" si="40"/>
        <v>0</v>
      </c>
      <c r="AQ294">
        <f t="shared" si="41"/>
        <v>0</v>
      </c>
      <c r="AR294">
        <f t="shared" si="42"/>
        <v>1</v>
      </c>
      <c r="AS294">
        <f t="shared" si="43"/>
        <v>0</v>
      </c>
      <c r="AT294">
        <f t="shared" si="44"/>
        <v>1</v>
      </c>
      <c r="AU294">
        <f t="shared" si="45"/>
        <v>0</v>
      </c>
      <c r="AV294">
        <f t="shared" si="46"/>
        <v>0</v>
      </c>
      <c r="AW294">
        <f t="shared" si="47"/>
        <v>0</v>
      </c>
      <c r="AX294">
        <f t="shared" si="48"/>
        <v>0</v>
      </c>
      <c r="AY294">
        <f t="shared" si="49"/>
        <v>0</v>
      </c>
    </row>
    <row r="295" spans="38:52" x14ac:dyDescent="0.35">
      <c r="AL295" s="19" t="s">
        <v>304</v>
      </c>
      <c r="AM295">
        <f t="shared" si="38"/>
        <v>0</v>
      </c>
      <c r="AN295">
        <f t="shared" si="50"/>
        <v>0</v>
      </c>
      <c r="AO295">
        <f t="shared" si="39"/>
        <v>0</v>
      </c>
      <c r="AP295">
        <f t="shared" si="40"/>
        <v>0</v>
      </c>
      <c r="AQ295">
        <f t="shared" si="41"/>
        <v>1</v>
      </c>
      <c r="AR295">
        <f t="shared" si="42"/>
        <v>0</v>
      </c>
      <c r="AS295">
        <f t="shared" si="43"/>
        <v>0</v>
      </c>
      <c r="AT295">
        <f t="shared" si="44"/>
        <v>0</v>
      </c>
      <c r="AU295">
        <f t="shared" si="45"/>
        <v>0</v>
      </c>
      <c r="AV295">
        <f t="shared" si="46"/>
        <v>0</v>
      </c>
      <c r="AW295">
        <f t="shared" si="47"/>
        <v>0</v>
      </c>
      <c r="AX295">
        <f t="shared" si="48"/>
        <v>0</v>
      </c>
      <c r="AY295">
        <f t="shared" si="49"/>
        <v>0</v>
      </c>
    </row>
    <row r="296" spans="38:52" x14ac:dyDescent="0.35">
      <c r="AL296" s="19" t="s">
        <v>305</v>
      </c>
      <c r="AM296">
        <f t="shared" si="38"/>
        <v>0</v>
      </c>
      <c r="AN296">
        <f t="shared" si="50"/>
        <v>2</v>
      </c>
      <c r="AO296">
        <f t="shared" si="39"/>
        <v>0</v>
      </c>
      <c r="AP296">
        <f t="shared" si="40"/>
        <v>0</v>
      </c>
      <c r="AQ296">
        <f t="shared" si="41"/>
        <v>1</v>
      </c>
      <c r="AR296">
        <f t="shared" si="42"/>
        <v>2</v>
      </c>
      <c r="AS296">
        <f t="shared" si="43"/>
        <v>0</v>
      </c>
      <c r="AT296">
        <f t="shared" si="44"/>
        <v>0</v>
      </c>
      <c r="AU296">
        <f t="shared" si="45"/>
        <v>0</v>
      </c>
      <c r="AV296">
        <f t="shared" si="46"/>
        <v>0</v>
      </c>
      <c r="AW296">
        <f t="shared" si="47"/>
        <v>0</v>
      </c>
      <c r="AX296">
        <f t="shared" si="48"/>
        <v>5</v>
      </c>
      <c r="AY296">
        <f t="shared" si="49"/>
        <v>2</v>
      </c>
    </row>
    <row r="297" spans="38:52" x14ac:dyDescent="0.35">
      <c r="AL297" s="19" t="s">
        <v>306</v>
      </c>
      <c r="AM297">
        <f t="shared" si="38"/>
        <v>0</v>
      </c>
      <c r="AN297">
        <f>COUNTIF($AU13:$BA13,"&gt;=95%")</f>
        <v>0</v>
      </c>
      <c r="AO297">
        <f t="shared" si="39"/>
        <v>0</v>
      </c>
      <c r="AP297">
        <f t="shared" si="40"/>
        <v>0</v>
      </c>
      <c r="AQ297">
        <f t="shared" si="41"/>
        <v>0</v>
      </c>
      <c r="AR297">
        <f t="shared" si="42"/>
        <v>0</v>
      </c>
      <c r="AS297">
        <f t="shared" si="43"/>
        <v>0</v>
      </c>
      <c r="AT297">
        <f t="shared" si="44"/>
        <v>0</v>
      </c>
      <c r="AU297">
        <f t="shared" si="45"/>
        <v>0</v>
      </c>
      <c r="AV297">
        <f t="shared" si="46"/>
        <v>0</v>
      </c>
      <c r="AW297">
        <f t="shared" si="47"/>
        <v>0</v>
      </c>
      <c r="AX297">
        <f t="shared" si="48"/>
        <v>0</v>
      </c>
      <c r="AY297">
        <f t="shared" si="49"/>
        <v>0</v>
      </c>
    </row>
    <row r="298" spans="38:52" x14ac:dyDescent="0.35">
      <c r="AL298" s="19" t="s">
        <v>307</v>
      </c>
      <c r="AM298">
        <f t="shared" si="38"/>
        <v>0</v>
      </c>
      <c r="AN298">
        <f t="shared" si="50"/>
        <v>1</v>
      </c>
      <c r="AO298">
        <f t="shared" si="39"/>
        <v>0</v>
      </c>
      <c r="AP298">
        <f t="shared" si="40"/>
        <v>0</v>
      </c>
      <c r="AQ298">
        <f t="shared" si="41"/>
        <v>1</v>
      </c>
      <c r="AR298">
        <f t="shared" si="42"/>
        <v>0</v>
      </c>
      <c r="AS298">
        <f t="shared" si="43"/>
        <v>0</v>
      </c>
      <c r="AT298">
        <f t="shared" si="44"/>
        <v>0</v>
      </c>
      <c r="AU298">
        <f t="shared" si="45"/>
        <v>0</v>
      </c>
      <c r="AV298">
        <f t="shared" si="46"/>
        <v>1</v>
      </c>
      <c r="AW298">
        <f t="shared" si="47"/>
        <v>0</v>
      </c>
      <c r="AX298">
        <f t="shared" si="48"/>
        <v>0</v>
      </c>
      <c r="AY298">
        <f t="shared" si="49"/>
        <v>0</v>
      </c>
    </row>
    <row r="299" spans="38:52" x14ac:dyDescent="0.35">
      <c r="AL299" s="19" t="s">
        <v>308</v>
      </c>
      <c r="AM299">
        <f t="shared" si="38"/>
        <v>0</v>
      </c>
      <c r="AN299">
        <f t="shared" si="50"/>
        <v>0</v>
      </c>
      <c r="AO299">
        <f t="shared" si="39"/>
        <v>0</v>
      </c>
      <c r="AP299">
        <f t="shared" si="40"/>
        <v>0</v>
      </c>
      <c r="AQ299">
        <f t="shared" si="41"/>
        <v>0</v>
      </c>
      <c r="AR299">
        <f t="shared" si="42"/>
        <v>0</v>
      </c>
      <c r="AS299">
        <f t="shared" si="43"/>
        <v>0</v>
      </c>
      <c r="AT299">
        <f t="shared" si="44"/>
        <v>0</v>
      </c>
      <c r="AU299">
        <f t="shared" si="45"/>
        <v>0</v>
      </c>
      <c r="AV299">
        <f t="shared" si="46"/>
        <v>0</v>
      </c>
      <c r="AW299">
        <f t="shared" si="47"/>
        <v>0</v>
      </c>
      <c r="AX299">
        <f t="shared" si="48"/>
        <v>0</v>
      </c>
      <c r="AY299">
        <f t="shared" si="49"/>
        <v>0</v>
      </c>
    </row>
    <row r="300" spans="38:52" x14ac:dyDescent="0.35">
      <c r="AL300" s="19" t="s">
        <v>309</v>
      </c>
      <c r="AM300">
        <f t="shared" si="38"/>
        <v>0</v>
      </c>
      <c r="AN300">
        <f t="shared" si="50"/>
        <v>2</v>
      </c>
      <c r="AO300">
        <f t="shared" si="39"/>
        <v>1</v>
      </c>
      <c r="AP300">
        <f t="shared" si="40"/>
        <v>3</v>
      </c>
      <c r="AQ300">
        <f t="shared" si="41"/>
        <v>0</v>
      </c>
      <c r="AR300">
        <f t="shared" si="42"/>
        <v>2</v>
      </c>
      <c r="AS300">
        <f t="shared" si="43"/>
        <v>0</v>
      </c>
      <c r="AT300">
        <f t="shared" si="44"/>
        <v>0</v>
      </c>
      <c r="AU300">
        <f t="shared" si="45"/>
        <v>0</v>
      </c>
      <c r="AV300">
        <f t="shared" si="46"/>
        <v>0</v>
      </c>
      <c r="AW300">
        <f t="shared" si="47"/>
        <v>0</v>
      </c>
      <c r="AX300">
        <f t="shared" si="48"/>
        <v>0</v>
      </c>
      <c r="AY300">
        <f t="shared" si="49"/>
        <v>0</v>
      </c>
    </row>
    <row r="301" spans="38:52" x14ac:dyDescent="0.35">
      <c r="AL301" s="19" t="s">
        <v>310</v>
      </c>
      <c r="AM301">
        <f t="shared" si="38"/>
        <v>0</v>
      </c>
      <c r="AN301">
        <f t="shared" si="50"/>
        <v>0</v>
      </c>
      <c r="AO301">
        <f t="shared" si="39"/>
        <v>0</v>
      </c>
      <c r="AP301">
        <f t="shared" si="40"/>
        <v>0</v>
      </c>
      <c r="AQ301">
        <f t="shared" si="41"/>
        <v>0</v>
      </c>
      <c r="AR301">
        <f t="shared" si="42"/>
        <v>0</v>
      </c>
      <c r="AS301">
        <f t="shared" si="43"/>
        <v>0</v>
      </c>
      <c r="AT301">
        <f t="shared" si="44"/>
        <v>0</v>
      </c>
      <c r="AU301">
        <f t="shared" si="45"/>
        <v>0</v>
      </c>
      <c r="AV301">
        <f t="shared" si="46"/>
        <v>0</v>
      </c>
      <c r="AW301">
        <f t="shared" si="47"/>
        <v>0</v>
      </c>
      <c r="AX301">
        <f t="shared" si="48"/>
        <v>0</v>
      </c>
      <c r="AY301">
        <f t="shared" si="49"/>
        <v>0</v>
      </c>
    </row>
    <row r="302" spans="38:52" x14ac:dyDescent="0.35">
      <c r="AL302" s="19" t="s">
        <v>311</v>
      </c>
      <c r="AM302">
        <f t="shared" si="38"/>
        <v>0</v>
      </c>
      <c r="AN302">
        <f t="shared" si="50"/>
        <v>0</v>
      </c>
      <c r="AO302">
        <f t="shared" si="39"/>
        <v>1</v>
      </c>
      <c r="AP302">
        <f t="shared" si="40"/>
        <v>0</v>
      </c>
      <c r="AQ302">
        <f t="shared" si="41"/>
        <v>0</v>
      </c>
      <c r="AR302">
        <f t="shared" si="42"/>
        <v>0</v>
      </c>
      <c r="AS302">
        <f t="shared" si="43"/>
        <v>0</v>
      </c>
      <c r="AT302">
        <f t="shared" si="44"/>
        <v>0</v>
      </c>
      <c r="AU302">
        <f t="shared" si="45"/>
        <v>0</v>
      </c>
      <c r="AV302">
        <f t="shared" si="46"/>
        <v>0</v>
      </c>
      <c r="AW302">
        <f t="shared" si="47"/>
        <v>1</v>
      </c>
      <c r="AX302">
        <f t="shared" si="48"/>
        <v>1</v>
      </c>
      <c r="AY302">
        <f t="shared" si="49"/>
        <v>1</v>
      </c>
    </row>
    <row r="303" spans="38:52" x14ac:dyDescent="0.35">
      <c r="AL303" s="19" t="s">
        <v>312</v>
      </c>
      <c r="AM303">
        <f t="shared" si="38"/>
        <v>0</v>
      </c>
      <c r="AN303">
        <f t="shared" si="50"/>
        <v>0</v>
      </c>
      <c r="AO303">
        <f t="shared" si="39"/>
        <v>0</v>
      </c>
      <c r="AP303">
        <f t="shared" si="40"/>
        <v>0</v>
      </c>
      <c r="AQ303">
        <f t="shared" si="41"/>
        <v>0</v>
      </c>
      <c r="AR303">
        <f t="shared" si="42"/>
        <v>0</v>
      </c>
      <c r="AS303">
        <f t="shared" si="43"/>
        <v>0</v>
      </c>
      <c r="AT303">
        <f t="shared" si="44"/>
        <v>0</v>
      </c>
      <c r="AU303">
        <f t="shared" si="45"/>
        <v>0</v>
      </c>
      <c r="AV303">
        <f t="shared" si="46"/>
        <v>0</v>
      </c>
      <c r="AW303">
        <f t="shared" si="47"/>
        <v>0</v>
      </c>
      <c r="AX303">
        <f t="shared" si="48"/>
        <v>0</v>
      </c>
      <c r="AY303">
        <f t="shared" si="49"/>
        <v>0</v>
      </c>
    </row>
    <row r="304" spans="38:52" x14ac:dyDescent="0.35">
      <c r="AL304" s="19" t="s">
        <v>313</v>
      </c>
      <c r="AM304">
        <f t="shared" si="38"/>
        <v>0</v>
      </c>
      <c r="AN304">
        <f t="shared" si="50"/>
        <v>1</v>
      </c>
      <c r="AO304">
        <f t="shared" si="39"/>
        <v>2</v>
      </c>
      <c r="AP304">
        <f t="shared" si="40"/>
        <v>0</v>
      </c>
      <c r="AQ304">
        <f t="shared" si="41"/>
        <v>1</v>
      </c>
      <c r="AR304">
        <f t="shared" si="42"/>
        <v>0</v>
      </c>
      <c r="AS304">
        <f t="shared" si="43"/>
        <v>2</v>
      </c>
      <c r="AT304">
        <f t="shared" si="44"/>
        <v>2</v>
      </c>
      <c r="AU304">
        <f t="shared" si="45"/>
        <v>3</v>
      </c>
      <c r="AV304">
        <f t="shared" si="46"/>
        <v>5</v>
      </c>
      <c r="AW304">
        <f t="shared" si="47"/>
        <v>1</v>
      </c>
      <c r="AX304">
        <f t="shared" si="48"/>
        <v>1</v>
      </c>
      <c r="AY304">
        <f t="shared" si="49"/>
        <v>2</v>
      </c>
    </row>
    <row r="305" spans="38:51" x14ac:dyDescent="0.35">
      <c r="AL305" s="19" t="s">
        <v>314</v>
      </c>
      <c r="AM305">
        <f t="shared" si="38"/>
        <v>1</v>
      </c>
      <c r="AN305">
        <f t="shared" si="50"/>
        <v>5</v>
      </c>
      <c r="AO305">
        <f t="shared" si="39"/>
        <v>2</v>
      </c>
      <c r="AP305">
        <f t="shared" si="40"/>
        <v>0</v>
      </c>
      <c r="AQ305">
        <f t="shared" si="41"/>
        <v>0</v>
      </c>
      <c r="AR305">
        <f t="shared" si="42"/>
        <v>0</v>
      </c>
      <c r="AS305">
        <f t="shared" si="43"/>
        <v>0</v>
      </c>
      <c r="AT305">
        <f t="shared" si="44"/>
        <v>0</v>
      </c>
      <c r="AU305">
        <f t="shared" si="45"/>
        <v>0</v>
      </c>
      <c r="AV305">
        <f t="shared" si="46"/>
        <v>0</v>
      </c>
      <c r="AW305">
        <f t="shared" si="47"/>
        <v>0</v>
      </c>
      <c r="AX305">
        <f t="shared" si="48"/>
        <v>0</v>
      </c>
      <c r="AY305">
        <f t="shared" si="49"/>
        <v>0</v>
      </c>
    </row>
    <row r="306" spans="38:51" x14ac:dyDescent="0.35">
      <c r="AL306" s="19" t="s">
        <v>315</v>
      </c>
      <c r="AM306">
        <f t="shared" si="38"/>
        <v>1</v>
      </c>
      <c r="AN306">
        <f t="shared" si="50"/>
        <v>0</v>
      </c>
      <c r="AO306">
        <f t="shared" si="39"/>
        <v>2</v>
      </c>
      <c r="AP306">
        <f t="shared" si="40"/>
        <v>0</v>
      </c>
      <c r="AQ306">
        <f t="shared" si="41"/>
        <v>0</v>
      </c>
      <c r="AR306">
        <f t="shared" si="42"/>
        <v>0</v>
      </c>
      <c r="AS306">
        <f t="shared" si="43"/>
        <v>0</v>
      </c>
      <c r="AT306">
        <f t="shared" si="44"/>
        <v>0</v>
      </c>
      <c r="AU306">
        <f t="shared" si="45"/>
        <v>0</v>
      </c>
      <c r="AV306">
        <f t="shared" si="46"/>
        <v>0</v>
      </c>
      <c r="AW306">
        <f t="shared" si="47"/>
        <v>0</v>
      </c>
      <c r="AX306">
        <f t="shared" si="48"/>
        <v>0</v>
      </c>
      <c r="AY306">
        <f t="shared" si="49"/>
        <v>0</v>
      </c>
    </row>
    <row r="307" spans="38:51" x14ac:dyDescent="0.35">
      <c r="AL307" s="19" t="s">
        <v>316</v>
      </c>
      <c r="AM307">
        <f t="shared" si="38"/>
        <v>0</v>
      </c>
      <c r="AN307">
        <f t="shared" si="50"/>
        <v>0</v>
      </c>
      <c r="AO307">
        <f t="shared" si="39"/>
        <v>0</v>
      </c>
      <c r="AP307">
        <f t="shared" si="40"/>
        <v>0</v>
      </c>
      <c r="AQ307">
        <f t="shared" si="41"/>
        <v>0</v>
      </c>
      <c r="AR307">
        <f t="shared" si="42"/>
        <v>2</v>
      </c>
      <c r="AS307">
        <f t="shared" si="43"/>
        <v>3</v>
      </c>
      <c r="AT307">
        <f t="shared" si="44"/>
        <v>3</v>
      </c>
      <c r="AU307">
        <f t="shared" si="45"/>
        <v>1</v>
      </c>
      <c r="AV307">
        <f t="shared" si="46"/>
        <v>1</v>
      </c>
      <c r="AW307">
        <f t="shared" si="47"/>
        <v>0</v>
      </c>
      <c r="AX307">
        <f t="shared" si="48"/>
        <v>0</v>
      </c>
      <c r="AY307">
        <f t="shared" si="49"/>
        <v>0</v>
      </c>
    </row>
    <row r="308" spans="38:51" x14ac:dyDescent="0.35">
      <c r="AL308" s="19" t="s">
        <v>317</v>
      </c>
      <c r="AM308">
        <f t="shared" si="38"/>
        <v>0</v>
      </c>
      <c r="AN308">
        <f t="shared" si="50"/>
        <v>0</v>
      </c>
      <c r="AO308">
        <f t="shared" si="39"/>
        <v>0</v>
      </c>
      <c r="AP308">
        <f t="shared" si="40"/>
        <v>0</v>
      </c>
      <c r="AQ308">
        <f t="shared" si="41"/>
        <v>0</v>
      </c>
      <c r="AR308">
        <f t="shared" si="42"/>
        <v>0</v>
      </c>
      <c r="AS308">
        <f t="shared" si="43"/>
        <v>0</v>
      </c>
      <c r="AT308">
        <f t="shared" si="44"/>
        <v>0</v>
      </c>
      <c r="AU308">
        <f t="shared" si="45"/>
        <v>0</v>
      </c>
      <c r="AV308">
        <f t="shared" si="46"/>
        <v>0</v>
      </c>
      <c r="AW308">
        <f t="shared" si="47"/>
        <v>0</v>
      </c>
      <c r="AX308">
        <f t="shared" si="48"/>
        <v>0</v>
      </c>
      <c r="AY308">
        <f t="shared" si="49"/>
        <v>0</v>
      </c>
    </row>
    <row r="309" spans="38:51" x14ac:dyDescent="0.35">
      <c r="AL309" s="19" t="s">
        <v>318</v>
      </c>
      <c r="AM309">
        <f t="shared" si="38"/>
        <v>5</v>
      </c>
      <c r="AN309">
        <f t="shared" si="50"/>
        <v>1</v>
      </c>
      <c r="AO309">
        <f t="shared" si="39"/>
        <v>4</v>
      </c>
      <c r="AP309">
        <f t="shared" si="40"/>
        <v>0</v>
      </c>
      <c r="AQ309">
        <f t="shared" si="41"/>
        <v>2</v>
      </c>
      <c r="AR309">
        <f t="shared" si="42"/>
        <v>4</v>
      </c>
      <c r="AS309">
        <f t="shared" si="43"/>
        <v>0</v>
      </c>
      <c r="AT309">
        <f t="shared" si="44"/>
        <v>0</v>
      </c>
      <c r="AU309">
        <f t="shared" si="45"/>
        <v>0</v>
      </c>
      <c r="AV309">
        <f t="shared" si="46"/>
        <v>1</v>
      </c>
      <c r="AW309">
        <f t="shared" si="47"/>
        <v>0</v>
      </c>
      <c r="AX309">
        <f t="shared" si="48"/>
        <v>0</v>
      </c>
      <c r="AY309">
        <f t="shared" si="49"/>
        <v>0</v>
      </c>
    </row>
    <row r="310" spans="38:51" x14ac:dyDescent="0.35">
      <c r="AL310" s="19" t="s">
        <v>319</v>
      </c>
      <c r="AM310">
        <f t="shared" si="38"/>
        <v>0</v>
      </c>
      <c r="AN310">
        <f t="shared" si="50"/>
        <v>0</v>
      </c>
      <c r="AO310">
        <f t="shared" si="39"/>
        <v>0</v>
      </c>
      <c r="AP310">
        <f t="shared" si="40"/>
        <v>0</v>
      </c>
      <c r="AQ310">
        <f t="shared" si="41"/>
        <v>0</v>
      </c>
      <c r="AR310">
        <f t="shared" si="42"/>
        <v>0</v>
      </c>
      <c r="AS310">
        <f t="shared" si="43"/>
        <v>0</v>
      </c>
      <c r="AT310">
        <f t="shared" si="44"/>
        <v>0</v>
      </c>
      <c r="AU310">
        <f t="shared" si="45"/>
        <v>0</v>
      </c>
      <c r="AV310">
        <f t="shared" si="46"/>
        <v>0</v>
      </c>
      <c r="AW310">
        <f t="shared" si="47"/>
        <v>0</v>
      </c>
      <c r="AX310">
        <f t="shared" si="48"/>
        <v>0</v>
      </c>
      <c r="AY310">
        <f t="shared" si="49"/>
        <v>0</v>
      </c>
    </row>
    <row r="311" spans="38:51" x14ac:dyDescent="0.35">
      <c r="AL311" s="19" t="s">
        <v>320</v>
      </c>
      <c r="AM311">
        <f t="shared" si="38"/>
        <v>7</v>
      </c>
      <c r="AN311">
        <f t="shared" si="50"/>
        <v>5</v>
      </c>
      <c r="AO311">
        <f t="shared" si="39"/>
        <v>4</v>
      </c>
      <c r="AP311">
        <f t="shared" si="40"/>
        <v>5</v>
      </c>
      <c r="AQ311">
        <f t="shared" si="41"/>
        <v>7</v>
      </c>
      <c r="AR311">
        <f t="shared" si="42"/>
        <v>7</v>
      </c>
      <c r="AS311">
        <f t="shared" si="43"/>
        <v>6</v>
      </c>
      <c r="AT311">
        <f t="shared" si="44"/>
        <v>5</v>
      </c>
      <c r="AU311">
        <f t="shared" si="45"/>
        <v>6</v>
      </c>
      <c r="AV311">
        <f t="shared" si="46"/>
        <v>3</v>
      </c>
      <c r="AW311">
        <f t="shared" si="47"/>
        <v>4</v>
      </c>
      <c r="AX311">
        <f t="shared" si="48"/>
        <v>4</v>
      </c>
      <c r="AY311">
        <f t="shared" si="49"/>
        <v>3</v>
      </c>
    </row>
    <row r="312" spans="38:51" x14ac:dyDescent="0.35">
      <c r="AL312" s="19" t="s">
        <v>321</v>
      </c>
      <c r="AM312">
        <f t="shared" si="38"/>
        <v>0</v>
      </c>
      <c r="AN312">
        <f t="shared" si="50"/>
        <v>0</v>
      </c>
      <c r="AO312">
        <f t="shared" si="39"/>
        <v>0</v>
      </c>
      <c r="AP312">
        <f t="shared" si="40"/>
        <v>0</v>
      </c>
      <c r="AQ312">
        <f t="shared" si="41"/>
        <v>0</v>
      </c>
      <c r="AR312">
        <f t="shared" si="42"/>
        <v>0</v>
      </c>
      <c r="AS312">
        <f t="shared" si="43"/>
        <v>0</v>
      </c>
      <c r="AT312">
        <f t="shared" si="44"/>
        <v>0</v>
      </c>
      <c r="AU312">
        <f t="shared" si="45"/>
        <v>0</v>
      </c>
      <c r="AV312">
        <f t="shared" si="46"/>
        <v>0</v>
      </c>
      <c r="AW312">
        <f t="shared" si="47"/>
        <v>0</v>
      </c>
      <c r="AX312">
        <f t="shared" si="48"/>
        <v>0</v>
      </c>
      <c r="AY312">
        <f t="shared" si="49"/>
        <v>1</v>
      </c>
    </row>
    <row r="313" spans="38:51" x14ac:dyDescent="0.35">
      <c r="AL313" s="19" t="s">
        <v>322</v>
      </c>
      <c r="AM313">
        <f t="shared" si="38"/>
        <v>0</v>
      </c>
      <c r="AN313">
        <f t="shared" si="50"/>
        <v>4</v>
      </c>
      <c r="AO313">
        <f t="shared" si="39"/>
        <v>0</v>
      </c>
      <c r="AP313">
        <f t="shared" si="40"/>
        <v>0</v>
      </c>
      <c r="AQ313">
        <f t="shared" si="41"/>
        <v>1</v>
      </c>
      <c r="AR313">
        <f t="shared" si="42"/>
        <v>0</v>
      </c>
      <c r="AS313">
        <f t="shared" si="43"/>
        <v>0</v>
      </c>
      <c r="AT313">
        <f t="shared" si="44"/>
        <v>0</v>
      </c>
      <c r="AU313">
        <f t="shared" si="45"/>
        <v>0</v>
      </c>
      <c r="AV313">
        <f t="shared" si="46"/>
        <v>0</v>
      </c>
      <c r="AW313">
        <f t="shared" si="47"/>
        <v>0</v>
      </c>
      <c r="AX313">
        <f t="shared" si="48"/>
        <v>0</v>
      </c>
      <c r="AY313">
        <f t="shared" si="49"/>
        <v>0</v>
      </c>
    </row>
    <row r="314" spans="38:51" x14ac:dyDescent="0.35">
      <c r="AL314" s="19" t="s">
        <v>323</v>
      </c>
      <c r="AM314">
        <f t="shared" si="38"/>
        <v>0</v>
      </c>
      <c r="AN314">
        <f t="shared" si="50"/>
        <v>0</v>
      </c>
      <c r="AO314">
        <f t="shared" si="39"/>
        <v>1</v>
      </c>
      <c r="AP314">
        <f t="shared" si="40"/>
        <v>0</v>
      </c>
      <c r="AQ314">
        <f t="shared" si="41"/>
        <v>1</v>
      </c>
      <c r="AR314">
        <f t="shared" si="42"/>
        <v>1</v>
      </c>
      <c r="AS314">
        <f t="shared" si="43"/>
        <v>0</v>
      </c>
      <c r="AT314">
        <f t="shared" si="44"/>
        <v>0</v>
      </c>
      <c r="AU314">
        <f t="shared" si="45"/>
        <v>0</v>
      </c>
      <c r="AV314">
        <f t="shared" si="46"/>
        <v>0</v>
      </c>
      <c r="AW314">
        <f t="shared" si="47"/>
        <v>0</v>
      </c>
      <c r="AX314">
        <f t="shared" si="48"/>
        <v>0</v>
      </c>
      <c r="AY314">
        <f t="shared" si="49"/>
        <v>0</v>
      </c>
    </row>
    <row r="315" spans="38:51" x14ac:dyDescent="0.35">
      <c r="AL315" s="19" t="s">
        <v>324</v>
      </c>
      <c r="AM315">
        <f t="shared" si="38"/>
        <v>0</v>
      </c>
      <c r="AN315">
        <f t="shared" si="50"/>
        <v>0</v>
      </c>
      <c r="AO315">
        <f t="shared" si="39"/>
        <v>0</v>
      </c>
      <c r="AP315">
        <f t="shared" si="40"/>
        <v>0</v>
      </c>
      <c r="AQ315">
        <f t="shared" si="41"/>
        <v>0</v>
      </c>
      <c r="AR315">
        <f t="shared" si="42"/>
        <v>1</v>
      </c>
      <c r="AS315">
        <f t="shared" si="43"/>
        <v>0</v>
      </c>
      <c r="AT315">
        <f t="shared" si="44"/>
        <v>0</v>
      </c>
      <c r="AU315">
        <f t="shared" si="45"/>
        <v>0</v>
      </c>
      <c r="AV315">
        <f t="shared" si="46"/>
        <v>0</v>
      </c>
      <c r="AW315">
        <f t="shared" si="47"/>
        <v>0</v>
      </c>
      <c r="AX315">
        <f t="shared" si="48"/>
        <v>0</v>
      </c>
      <c r="AY315">
        <f t="shared" si="49"/>
        <v>0</v>
      </c>
    </row>
    <row r="316" spans="38:51" x14ac:dyDescent="0.35">
      <c r="AL316" s="19" t="s">
        <v>325</v>
      </c>
      <c r="AM316">
        <f t="shared" si="38"/>
        <v>5</v>
      </c>
      <c r="AN316">
        <f t="shared" si="50"/>
        <v>2</v>
      </c>
      <c r="AO316">
        <f t="shared" si="39"/>
        <v>1</v>
      </c>
      <c r="AP316">
        <f t="shared" si="40"/>
        <v>1</v>
      </c>
      <c r="AQ316">
        <f t="shared" si="41"/>
        <v>2</v>
      </c>
      <c r="AR316">
        <f t="shared" si="42"/>
        <v>3</v>
      </c>
      <c r="AS316">
        <f t="shared" si="43"/>
        <v>3</v>
      </c>
      <c r="AT316">
        <f t="shared" si="44"/>
        <v>1</v>
      </c>
      <c r="AU316">
        <f t="shared" si="45"/>
        <v>2</v>
      </c>
      <c r="AV316">
        <f t="shared" si="46"/>
        <v>2</v>
      </c>
      <c r="AW316">
        <f t="shared" si="47"/>
        <v>0</v>
      </c>
      <c r="AX316">
        <f t="shared" si="48"/>
        <v>0</v>
      </c>
      <c r="AY316">
        <f t="shared" si="49"/>
        <v>0</v>
      </c>
    </row>
    <row r="317" spans="38:51" x14ac:dyDescent="0.35">
      <c r="AL317" s="19" t="s">
        <v>326</v>
      </c>
      <c r="AM317">
        <f t="shared" si="38"/>
        <v>1</v>
      </c>
      <c r="AN317">
        <f t="shared" si="50"/>
        <v>0</v>
      </c>
      <c r="AO317">
        <f t="shared" si="39"/>
        <v>0</v>
      </c>
      <c r="AP317">
        <f t="shared" si="40"/>
        <v>0</v>
      </c>
      <c r="AQ317">
        <f t="shared" si="41"/>
        <v>0</v>
      </c>
      <c r="AR317">
        <f t="shared" si="42"/>
        <v>0</v>
      </c>
      <c r="AS317">
        <f t="shared" si="43"/>
        <v>0</v>
      </c>
      <c r="AT317">
        <f t="shared" si="44"/>
        <v>0</v>
      </c>
      <c r="AU317">
        <f t="shared" si="45"/>
        <v>0</v>
      </c>
      <c r="AV317">
        <f t="shared" si="46"/>
        <v>0</v>
      </c>
      <c r="AW317">
        <f t="shared" si="47"/>
        <v>0</v>
      </c>
      <c r="AX317">
        <f t="shared" si="48"/>
        <v>0</v>
      </c>
      <c r="AY317">
        <f t="shared" si="49"/>
        <v>0</v>
      </c>
    </row>
    <row r="318" spans="38:51" x14ac:dyDescent="0.35">
      <c r="AL318" s="19" t="s">
        <v>327</v>
      </c>
      <c r="AM318">
        <f t="shared" si="38"/>
        <v>0</v>
      </c>
      <c r="AN318">
        <f t="shared" si="50"/>
        <v>0</v>
      </c>
      <c r="AO318">
        <f t="shared" si="39"/>
        <v>0</v>
      </c>
      <c r="AP318">
        <f t="shared" si="40"/>
        <v>0</v>
      </c>
      <c r="AQ318">
        <f t="shared" si="41"/>
        <v>0</v>
      </c>
      <c r="AR318">
        <f t="shared" si="42"/>
        <v>0</v>
      </c>
      <c r="AS318">
        <f t="shared" si="43"/>
        <v>0</v>
      </c>
      <c r="AT318">
        <f t="shared" si="44"/>
        <v>0</v>
      </c>
      <c r="AU318">
        <f t="shared" si="45"/>
        <v>0</v>
      </c>
      <c r="AV318">
        <f t="shared" si="46"/>
        <v>0</v>
      </c>
      <c r="AW318">
        <f t="shared" si="47"/>
        <v>0</v>
      </c>
      <c r="AX318">
        <f t="shared" si="48"/>
        <v>0</v>
      </c>
      <c r="AY318">
        <f t="shared" si="49"/>
        <v>0</v>
      </c>
    </row>
    <row r="319" spans="38:51" x14ac:dyDescent="0.35">
      <c r="AL319" s="19" t="s">
        <v>328</v>
      </c>
      <c r="AM319">
        <f t="shared" si="38"/>
        <v>0</v>
      </c>
      <c r="AN319">
        <f t="shared" si="50"/>
        <v>0</v>
      </c>
      <c r="AO319">
        <f t="shared" si="39"/>
        <v>0</v>
      </c>
      <c r="AP319">
        <f t="shared" si="40"/>
        <v>0</v>
      </c>
      <c r="AQ319">
        <f t="shared" si="41"/>
        <v>0</v>
      </c>
      <c r="AR319">
        <f t="shared" si="42"/>
        <v>0</v>
      </c>
      <c r="AS319">
        <f t="shared" si="43"/>
        <v>0</v>
      </c>
      <c r="AT319">
        <f t="shared" si="44"/>
        <v>0</v>
      </c>
      <c r="AU319">
        <f t="shared" si="45"/>
        <v>0</v>
      </c>
      <c r="AV319">
        <f t="shared" si="46"/>
        <v>0</v>
      </c>
      <c r="AW319">
        <f t="shared" si="47"/>
        <v>0</v>
      </c>
      <c r="AX319">
        <f t="shared" si="48"/>
        <v>0</v>
      </c>
      <c r="AY319">
        <f t="shared" si="49"/>
        <v>0</v>
      </c>
    </row>
    <row r="320" spans="38:51" x14ac:dyDescent="0.35">
      <c r="AL320" s="19" t="s">
        <v>329</v>
      </c>
      <c r="AM320">
        <f t="shared" si="38"/>
        <v>3</v>
      </c>
      <c r="AN320">
        <f t="shared" si="50"/>
        <v>6</v>
      </c>
      <c r="AO320">
        <f t="shared" si="39"/>
        <v>5</v>
      </c>
      <c r="AP320">
        <f t="shared" si="40"/>
        <v>0</v>
      </c>
      <c r="AQ320">
        <f t="shared" si="41"/>
        <v>1</v>
      </c>
      <c r="AR320">
        <f t="shared" si="42"/>
        <v>2</v>
      </c>
      <c r="AS320">
        <f t="shared" si="43"/>
        <v>2</v>
      </c>
      <c r="AT320">
        <f t="shared" si="44"/>
        <v>2</v>
      </c>
      <c r="AU320">
        <f t="shared" si="45"/>
        <v>1</v>
      </c>
      <c r="AV320">
        <f t="shared" si="46"/>
        <v>0</v>
      </c>
      <c r="AW320">
        <f t="shared" si="47"/>
        <v>0</v>
      </c>
      <c r="AX320">
        <f t="shared" si="48"/>
        <v>0</v>
      </c>
      <c r="AY320">
        <f t="shared" si="49"/>
        <v>0</v>
      </c>
    </row>
    <row r="321" spans="38:51" x14ac:dyDescent="0.35">
      <c r="AL321" s="19" t="s">
        <v>330</v>
      </c>
      <c r="AM321">
        <f t="shared" si="38"/>
        <v>0</v>
      </c>
      <c r="AN321">
        <f t="shared" si="50"/>
        <v>0</v>
      </c>
      <c r="AO321">
        <f t="shared" si="39"/>
        <v>0</v>
      </c>
      <c r="AP321">
        <f t="shared" si="40"/>
        <v>0</v>
      </c>
      <c r="AQ321">
        <f t="shared" si="41"/>
        <v>0</v>
      </c>
      <c r="AR321">
        <f t="shared" si="42"/>
        <v>0</v>
      </c>
      <c r="AS321">
        <f t="shared" si="43"/>
        <v>0</v>
      </c>
      <c r="AT321">
        <f t="shared" si="44"/>
        <v>0</v>
      </c>
      <c r="AU321">
        <f t="shared" si="45"/>
        <v>0</v>
      </c>
      <c r="AV321">
        <f t="shared" si="46"/>
        <v>0</v>
      </c>
      <c r="AW321">
        <f t="shared" si="47"/>
        <v>0</v>
      </c>
      <c r="AX321">
        <f t="shared" si="48"/>
        <v>0</v>
      </c>
      <c r="AY321">
        <f t="shared" si="49"/>
        <v>0</v>
      </c>
    </row>
    <row r="322" spans="38:51" x14ac:dyDescent="0.35">
      <c r="AL322" s="19" t="s">
        <v>331</v>
      </c>
      <c r="AM322">
        <f t="shared" si="38"/>
        <v>0</v>
      </c>
      <c r="AN322">
        <f t="shared" si="50"/>
        <v>0</v>
      </c>
      <c r="AO322">
        <f t="shared" si="39"/>
        <v>2</v>
      </c>
      <c r="AP322">
        <f t="shared" si="40"/>
        <v>0</v>
      </c>
      <c r="AQ322">
        <f t="shared" si="41"/>
        <v>0</v>
      </c>
      <c r="AR322">
        <f t="shared" si="42"/>
        <v>0</v>
      </c>
      <c r="AS322">
        <f t="shared" si="43"/>
        <v>0</v>
      </c>
      <c r="AT322">
        <f t="shared" si="44"/>
        <v>0</v>
      </c>
      <c r="AU322">
        <f t="shared" si="45"/>
        <v>0</v>
      </c>
      <c r="AV322">
        <f t="shared" si="46"/>
        <v>0</v>
      </c>
      <c r="AW322">
        <f t="shared" si="47"/>
        <v>0</v>
      </c>
      <c r="AX322">
        <f t="shared" si="48"/>
        <v>0</v>
      </c>
      <c r="AY322">
        <f t="shared" si="49"/>
        <v>0</v>
      </c>
    </row>
    <row r="323" spans="38:51" x14ac:dyDescent="0.35">
      <c r="AL323" s="19" t="s">
        <v>332</v>
      </c>
      <c r="AM323">
        <f t="shared" si="38"/>
        <v>0</v>
      </c>
      <c r="AN323">
        <f t="shared" si="50"/>
        <v>0</v>
      </c>
      <c r="AO323">
        <f t="shared" si="39"/>
        <v>0</v>
      </c>
      <c r="AP323">
        <f t="shared" si="40"/>
        <v>0</v>
      </c>
      <c r="AQ323">
        <f t="shared" si="41"/>
        <v>0</v>
      </c>
      <c r="AR323">
        <f t="shared" si="42"/>
        <v>0</v>
      </c>
      <c r="AS323">
        <f t="shared" si="43"/>
        <v>0</v>
      </c>
      <c r="AT323">
        <f t="shared" si="44"/>
        <v>0</v>
      </c>
      <c r="AU323">
        <f t="shared" si="45"/>
        <v>0</v>
      </c>
      <c r="AV323">
        <f t="shared" si="46"/>
        <v>0</v>
      </c>
      <c r="AW323">
        <f t="shared" si="47"/>
        <v>0</v>
      </c>
      <c r="AX323">
        <f t="shared" si="48"/>
        <v>0</v>
      </c>
      <c r="AY323">
        <f t="shared" si="49"/>
        <v>0</v>
      </c>
    </row>
    <row r="324" spans="38:51" x14ac:dyDescent="0.35">
      <c r="AL324" s="19" t="s">
        <v>333</v>
      </c>
      <c r="AM324">
        <f t="shared" si="38"/>
        <v>0</v>
      </c>
      <c r="AN324">
        <f t="shared" si="50"/>
        <v>0</v>
      </c>
      <c r="AO324">
        <f t="shared" si="39"/>
        <v>0</v>
      </c>
      <c r="AP324">
        <f t="shared" si="40"/>
        <v>1</v>
      </c>
      <c r="AQ324">
        <f t="shared" si="41"/>
        <v>3</v>
      </c>
      <c r="AR324">
        <f t="shared" si="42"/>
        <v>2</v>
      </c>
      <c r="AS324">
        <f t="shared" si="43"/>
        <v>2</v>
      </c>
      <c r="AT324">
        <f t="shared" si="44"/>
        <v>2</v>
      </c>
      <c r="AU324">
        <f t="shared" si="45"/>
        <v>0</v>
      </c>
      <c r="AV324">
        <f t="shared" si="46"/>
        <v>3</v>
      </c>
      <c r="AW324">
        <f t="shared" si="47"/>
        <v>1</v>
      </c>
      <c r="AX324">
        <f t="shared" si="48"/>
        <v>0</v>
      </c>
      <c r="AY324">
        <f t="shared" si="49"/>
        <v>0</v>
      </c>
    </row>
    <row r="325" spans="38:51" x14ac:dyDescent="0.35">
      <c r="AL325" s="19" t="s">
        <v>334</v>
      </c>
      <c r="AM325">
        <f t="shared" si="38"/>
        <v>0</v>
      </c>
      <c r="AN325">
        <f t="shared" si="50"/>
        <v>0</v>
      </c>
      <c r="AO325">
        <f t="shared" si="39"/>
        <v>0</v>
      </c>
      <c r="AP325">
        <f t="shared" si="40"/>
        <v>0</v>
      </c>
      <c r="AQ325">
        <f t="shared" si="41"/>
        <v>0</v>
      </c>
      <c r="AR325">
        <f t="shared" si="42"/>
        <v>0</v>
      </c>
      <c r="AS325">
        <f t="shared" si="43"/>
        <v>0</v>
      </c>
      <c r="AT325">
        <f t="shared" si="44"/>
        <v>2</v>
      </c>
      <c r="AU325">
        <f t="shared" si="45"/>
        <v>0</v>
      </c>
      <c r="AV325">
        <f t="shared" si="46"/>
        <v>0</v>
      </c>
      <c r="AW325">
        <f t="shared" si="47"/>
        <v>0</v>
      </c>
      <c r="AX325">
        <f t="shared" si="48"/>
        <v>0</v>
      </c>
      <c r="AY325">
        <f t="shared" si="49"/>
        <v>0</v>
      </c>
    </row>
    <row r="326" spans="38:51" x14ac:dyDescent="0.35">
      <c r="AL326" s="19" t="s">
        <v>335</v>
      </c>
      <c r="AM326">
        <f t="shared" si="38"/>
        <v>0</v>
      </c>
      <c r="AN326">
        <f t="shared" si="50"/>
        <v>0</v>
      </c>
      <c r="AO326">
        <f t="shared" si="39"/>
        <v>1</v>
      </c>
      <c r="AP326">
        <f t="shared" si="40"/>
        <v>0</v>
      </c>
      <c r="AQ326">
        <f t="shared" si="41"/>
        <v>2</v>
      </c>
      <c r="AR326">
        <f t="shared" si="42"/>
        <v>3</v>
      </c>
      <c r="AS326">
        <f t="shared" si="43"/>
        <v>1</v>
      </c>
      <c r="AT326">
        <f t="shared" si="44"/>
        <v>1</v>
      </c>
      <c r="AU326">
        <f t="shared" si="45"/>
        <v>0</v>
      </c>
      <c r="AV326">
        <f t="shared" si="46"/>
        <v>0</v>
      </c>
      <c r="AW326">
        <f t="shared" si="47"/>
        <v>0</v>
      </c>
      <c r="AX326">
        <f t="shared" si="48"/>
        <v>0</v>
      </c>
      <c r="AY326">
        <f t="shared" si="49"/>
        <v>2</v>
      </c>
    </row>
    <row r="327" spans="38:51" x14ac:dyDescent="0.35">
      <c r="AL327" s="19" t="s">
        <v>336</v>
      </c>
      <c r="AM327">
        <f t="shared" si="38"/>
        <v>0</v>
      </c>
      <c r="AN327">
        <f t="shared" si="50"/>
        <v>0</v>
      </c>
      <c r="AO327">
        <f t="shared" si="39"/>
        <v>0</v>
      </c>
      <c r="AP327">
        <f t="shared" si="40"/>
        <v>0</v>
      </c>
      <c r="AQ327">
        <f t="shared" si="41"/>
        <v>0</v>
      </c>
      <c r="AR327">
        <f t="shared" si="42"/>
        <v>0</v>
      </c>
      <c r="AS327">
        <f t="shared" si="43"/>
        <v>0</v>
      </c>
      <c r="AT327">
        <f t="shared" si="44"/>
        <v>0</v>
      </c>
      <c r="AU327">
        <f t="shared" si="45"/>
        <v>0</v>
      </c>
      <c r="AV327">
        <f t="shared" si="46"/>
        <v>0</v>
      </c>
      <c r="AW327">
        <f t="shared" si="47"/>
        <v>0</v>
      </c>
      <c r="AX327">
        <f t="shared" si="48"/>
        <v>0</v>
      </c>
      <c r="AY327">
        <f t="shared" si="49"/>
        <v>0</v>
      </c>
    </row>
    <row r="328" spans="38:51" x14ac:dyDescent="0.35">
      <c r="AL328" s="19" t="s">
        <v>337</v>
      </c>
      <c r="AM328">
        <f t="shared" si="38"/>
        <v>0</v>
      </c>
      <c r="AN328">
        <f t="shared" si="50"/>
        <v>0</v>
      </c>
      <c r="AO328">
        <f t="shared" si="39"/>
        <v>0</v>
      </c>
      <c r="AP328">
        <f t="shared" si="40"/>
        <v>0</v>
      </c>
      <c r="AQ328">
        <f t="shared" si="41"/>
        <v>0</v>
      </c>
      <c r="AR328">
        <f t="shared" si="42"/>
        <v>0</v>
      </c>
      <c r="AS328">
        <f t="shared" si="43"/>
        <v>0</v>
      </c>
      <c r="AT328">
        <f t="shared" si="44"/>
        <v>0</v>
      </c>
      <c r="AU328">
        <f t="shared" si="45"/>
        <v>0</v>
      </c>
      <c r="AV328">
        <f t="shared" si="46"/>
        <v>0</v>
      </c>
      <c r="AW328">
        <f t="shared" si="47"/>
        <v>0</v>
      </c>
      <c r="AX328">
        <f t="shared" si="48"/>
        <v>0</v>
      </c>
      <c r="AY328">
        <f t="shared" si="49"/>
        <v>0</v>
      </c>
    </row>
    <row r="329" spans="38:51" x14ac:dyDescent="0.35">
      <c r="AL329" s="19" t="s">
        <v>338</v>
      </c>
      <c r="AM329">
        <f t="shared" si="38"/>
        <v>0</v>
      </c>
      <c r="AN329">
        <f t="shared" si="50"/>
        <v>2</v>
      </c>
      <c r="AO329">
        <f t="shared" si="39"/>
        <v>0</v>
      </c>
      <c r="AP329">
        <f t="shared" si="40"/>
        <v>0</v>
      </c>
      <c r="AQ329">
        <f t="shared" si="41"/>
        <v>0</v>
      </c>
      <c r="AR329">
        <f t="shared" si="42"/>
        <v>0</v>
      </c>
      <c r="AS329">
        <f t="shared" si="43"/>
        <v>0</v>
      </c>
      <c r="AT329">
        <f t="shared" si="44"/>
        <v>0</v>
      </c>
      <c r="AU329">
        <f t="shared" si="45"/>
        <v>0</v>
      </c>
      <c r="AV329">
        <f t="shared" si="46"/>
        <v>0</v>
      </c>
      <c r="AW329">
        <f t="shared" si="47"/>
        <v>0</v>
      </c>
      <c r="AX329">
        <f t="shared" si="48"/>
        <v>0</v>
      </c>
      <c r="AY329">
        <f t="shared" si="49"/>
        <v>0</v>
      </c>
    </row>
    <row r="330" spans="38:51" x14ac:dyDescent="0.35">
      <c r="AL330" s="19" t="s">
        <v>339</v>
      </c>
      <c r="AM330">
        <f t="shared" si="38"/>
        <v>0</v>
      </c>
      <c r="AN330">
        <f t="shared" si="50"/>
        <v>0</v>
      </c>
      <c r="AO330">
        <f t="shared" si="39"/>
        <v>0</v>
      </c>
      <c r="AP330">
        <f t="shared" si="40"/>
        <v>0</v>
      </c>
      <c r="AQ330">
        <f t="shared" si="41"/>
        <v>0</v>
      </c>
      <c r="AR330">
        <f t="shared" si="42"/>
        <v>1</v>
      </c>
      <c r="AS330">
        <f t="shared" si="43"/>
        <v>0</v>
      </c>
      <c r="AT330">
        <f t="shared" si="44"/>
        <v>0</v>
      </c>
      <c r="AU330">
        <f t="shared" si="45"/>
        <v>0</v>
      </c>
      <c r="AV330">
        <f t="shared" si="46"/>
        <v>0</v>
      </c>
      <c r="AW330">
        <f t="shared" si="47"/>
        <v>0</v>
      </c>
      <c r="AX330">
        <f t="shared" si="48"/>
        <v>0</v>
      </c>
      <c r="AY330">
        <f t="shared" si="49"/>
        <v>0</v>
      </c>
    </row>
    <row r="331" spans="38:51" x14ac:dyDescent="0.35">
      <c r="AL331" s="19" t="s">
        <v>340</v>
      </c>
      <c r="AM331">
        <f t="shared" si="38"/>
        <v>0</v>
      </c>
      <c r="AN331">
        <f t="shared" si="50"/>
        <v>0</v>
      </c>
      <c r="AO331">
        <f t="shared" si="39"/>
        <v>0</v>
      </c>
      <c r="AP331">
        <f t="shared" si="40"/>
        <v>0</v>
      </c>
      <c r="AQ331">
        <f t="shared" si="41"/>
        <v>0</v>
      </c>
      <c r="AR331">
        <f t="shared" si="42"/>
        <v>1</v>
      </c>
      <c r="AS331">
        <f t="shared" si="43"/>
        <v>0</v>
      </c>
      <c r="AT331">
        <f t="shared" si="44"/>
        <v>0</v>
      </c>
      <c r="AU331">
        <f t="shared" si="45"/>
        <v>0</v>
      </c>
      <c r="AV331">
        <f t="shared" si="46"/>
        <v>0</v>
      </c>
      <c r="AW331">
        <f t="shared" si="47"/>
        <v>0</v>
      </c>
      <c r="AX331">
        <f t="shared" si="48"/>
        <v>0</v>
      </c>
      <c r="AY331">
        <f t="shared" si="49"/>
        <v>0</v>
      </c>
    </row>
    <row r="332" spans="38:51" x14ac:dyDescent="0.35">
      <c r="AL332" s="19" t="s">
        <v>341</v>
      </c>
      <c r="AM332">
        <f t="shared" si="38"/>
        <v>0</v>
      </c>
      <c r="AN332">
        <f t="shared" si="50"/>
        <v>0</v>
      </c>
      <c r="AO332">
        <f t="shared" si="39"/>
        <v>0</v>
      </c>
      <c r="AP332">
        <f t="shared" si="40"/>
        <v>0</v>
      </c>
      <c r="AQ332">
        <f t="shared" si="41"/>
        <v>0</v>
      </c>
      <c r="AR332">
        <f t="shared" si="42"/>
        <v>0</v>
      </c>
      <c r="AS332">
        <f t="shared" si="43"/>
        <v>0</v>
      </c>
      <c r="AT332">
        <f t="shared" si="44"/>
        <v>0</v>
      </c>
      <c r="AU332">
        <f t="shared" si="45"/>
        <v>0</v>
      </c>
      <c r="AV332">
        <f t="shared" si="46"/>
        <v>0</v>
      </c>
      <c r="AW332">
        <f t="shared" si="47"/>
        <v>0</v>
      </c>
      <c r="AX332">
        <f t="shared" si="48"/>
        <v>0</v>
      </c>
      <c r="AY332">
        <f t="shared" si="49"/>
        <v>0</v>
      </c>
    </row>
    <row r="333" spans="38:51" x14ac:dyDescent="0.35">
      <c r="AL333" s="19" t="s">
        <v>342</v>
      </c>
      <c r="AM333">
        <f t="shared" si="38"/>
        <v>0</v>
      </c>
      <c r="AN333">
        <f t="shared" si="50"/>
        <v>3</v>
      </c>
      <c r="AO333">
        <f t="shared" si="39"/>
        <v>4</v>
      </c>
      <c r="AP333">
        <f t="shared" si="40"/>
        <v>1</v>
      </c>
      <c r="AQ333">
        <f t="shared" si="41"/>
        <v>0</v>
      </c>
      <c r="AR333">
        <f t="shared" si="42"/>
        <v>0</v>
      </c>
      <c r="AS333">
        <f t="shared" si="43"/>
        <v>3</v>
      </c>
      <c r="AT333">
        <f t="shared" si="44"/>
        <v>2</v>
      </c>
      <c r="AU333">
        <f t="shared" si="45"/>
        <v>1</v>
      </c>
      <c r="AV333">
        <f t="shared" si="46"/>
        <v>0</v>
      </c>
      <c r="AW333">
        <f t="shared" si="47"/>
        <v>0</v>
      </c>
      <c r="AX333">
        <f t="shared" si="48"/>
        <v>0</v>
      </c>
      <c r="AY333">
        <f t="shared" si="49"/>
        <v>0</v>
      </c>
    </row>
    <row r="334" spans="38:51" x14ac:dyDescent="0.35">
      <c r="AL334" s="19" t="s">
        <v>343</v>
      </c>
      <c r="AM334">
        <f t="shared" si="38"/>
        <v>0</v>
      </c>
      <c r="AN334">
        <f t="shared" si="50"/>
        <v>2</v>
      </c>
      <c r="AO334">
        <f t="shared" si="39"/>
        <v>3</v>
      </c>
      <c r="AP334">
        <f t="shared" si="40"/>
        <v>2</v>
      </c>
      <c r="AQ334">
        <f t="shared" si="41"/>
        <v>0</v>
      </c>
      <c r="AR334">
        <f t="shared" si="42"/>
        <v>0</v>
      </c>
      <c r="AS334">
        <f t="shared" si="43"/>
        <v>0</v>
      </c>
      <c r="AT334">
        <f t="shared" si="44"/>
        <v>0</v>
      </c>
      <c r="AU334">
        <f t="shared" si="45"/>
        <v>0</v>
      </c>
      <c r="AV334">
        <f t="shared" si="46"/>
        <v>0</v>
      </c>
      <c r="AW334">
        <f t="shared" si="47"/>
        <v>0</v>
      </c>
      <c r="AX334">
        <f t="shared" si="48"/>
        <v>0</v>
      </c>
      <c r="AY334">
        <f t="shared" si="49"/>
        <v>0</v>
      </c>
    </row>
    <row r="335" spans="38:51" x14ac:dyDescent="0.35">
      <c r="AL335" s="19" t="s">
        <v>344</v>
      </c>
      <c r="AM335">
        <f t="shared" si="38"/>
        <v>3</v>
      </c>
      <c r="AN335">
        <f>COUNTIF($AU51:$BA51,"&gt;=95%")</f>
        <v>4</v>
      </c>
      <c r="AO335">
        <f t="shared" si="39"/>
        <v>0</v>
      </c>
      <c r="AP335">
        <f t="shared" si="40"/>
        <v>0</v>
      </c>
      <c r="AQ335">
        <f t="shared" si="41"/>
        <v>0</v>
      </c>
      <c r="AR335">
        <f t="shared" si="42"/>
        <v>0</v>
      </c>
      <c r="AS335">
        <f t="shared" si="43"/>
        <v>0</v>
      </c>
      <c r="AT335">
        <f t="shared" si="44"/>
        <v>0</v>
      </c>
      <c r="AU335">
        <f t="shared" si="45"/>
        <v>0</v>
      </c>
      <c r="AV335">
        <f t="shared" si="46"/>
        <v>1</v>
      </c>
      <c r="AW335">
        <f t="shared" si="47"/>
        <v>0</v>
      </c>
      <c r="AX335">
        <f t="shared" si="48"/>
        <v>0</v>
      </c>
      <c r="AY335">
        <f t="shared" si="49"/>
        <v>4</v>
      </c>
    </row>
    <row r="336" spans="38:51" x14ac:dyDescent="0.35">
      <c r="AL336" s="19" t="s">
        <v>345</v>
      </c>
      <c r="AM336">
        <f t="shared" si="38"/>
        <v>2</v>
      </c>
      <c r="AN336">
        <f t="shared" si="50"/>
        <v>7</v>
      </c>
      <c r="AO336">
        <f t="shared" si="39"/>
        <v>2</v>
      </c>
      <c r="AP336">
        <f t="shared" si="40"/>
        <v>0</v>
      </c>
      <c r="AQ336">
        <f t="shared" si="41"/>
        <v>1</v>
      </c>
      <c r="AR336">
        <f t="shared" si="42"/>
        <v>2</v>
      </c>
      <c r="AS336">
        <f t="shared" si="43"/>
        <v>1</v>
      </c>
      <c r="AT336">
        <f t="shared" si="44"/>
        <v>0</v>
      </c>
      <c r="AU336">
        <f t="shared" si="45"/>
        <v>0</v>
      </c>
      <c r="AV336">
        <f t="shared" si="46"/>
        <v>0</v>
      </c>
      <c r="AW336">
        <f t="shared" si="47"/>
        <v>0</v>
      </c>
      <c r="AX336">
        <f t="shared" si="48"/>
        <v>0</v>
      </c>
      <c r="AY336">
        <f t="shared" si="49"/>
        <v>0</v>
      </c>
    </row>
    <row r="337" spans="38:51" x14ac:dyDescent="0.35">
      <c r="AL337" s="19" t="s">
        <v>346</v>
      </c>
      <c r="AM337">
        <f t="shared" si="38"/>
        <v>0</v>
      </c>
      <c r="AN337">
        <f t="shared" si="50"/>
        <v>0</v>
      </c>
      <c r="AO337">
        <f t="shared" si="39"/>
        <v>0</v>
      </c>
      <c r="AP337">
        <f t="shared" si="40"/>
        <v>2</v>
      </c>
      <c r="AQ337">
        <f t="shared" si="41"/>
        <v>6</v>
      </c>
      <c r="AR337">
        <f t="shared" si="42"/>
        <v>3</v>
      </c>
      <c r="AS337">
        <f t="shared" si="43"/>
        <v>0</v>
      </c>
      <c r="AT337">
        <f t="shared" si="44"/>
        <v>1</v>
      </c>
      <c r="AU337">
        <f t="shared" si="45"/>
        <v>0</v>
      </c>
      <c r="AV337">
        <f t="shared" si="46"/>
        <v>0</v>
      </c>
      <c r="AW337">
        <f t="shared" si="47"/>
        <v>0</v>
      </c>
      <c r="AX337">
        <f t="shared" si="48"/>
        <v>0</v>
      </c>
      <c r="AY337">
        <f t="shared" si="49"/>
        <v>0</v>
      </c>
    </row>
    <row r="338" spans="38:51" x14ac:dyDescent="0.35">
      <c r="AL338" s="19" t="s">
        <v>347</v>
      </c>
      <c r="AM338">
        <f t="shared" si="38"/>
        <v>1</v>
      </c>
      <c r="AN338">
        <f t="shared" si="50"/>
        <v>0</v>
      </c>
      <c r="AO338">
        <f t="shared" si="39"/>
        <v>0</v>
      </c>
      <c r="AP338">
        <f t="shared" si="40"/>
        <v>0</v>
      </c>
      <c r="AQ338">
        <f t="shared" si="41"/>
        <v>0</v>
      </c>
      <c r="AR338">
        <f t="shared" si="42"/>
        <v>0</v>
      </c>
      <c r="AS338">
        <f t="shared" si="43"/>
        <v>0</v>
      </c>
      <c r="AT338">
        <f t="shared" si="44"/>
        <v>0</v>
      </c>
      <c r="AU338">
        <f t="shared" si="45"/>
        <v>0</v>
      </c>
      <c r="AV338">
        <f t="shared" si="46"/>
        <v>0</v>
      </c>
      <c r="AW338">
        <f t="shared" si="47"/>
        <v>0</v>
      </c>
      <c r="AX338">
        <f t="shared" si="48"/>
        <v>0</v>
      </c>
      <c r="AY338">
        <f t="shared" si="49"/>
        <v>0</v>
      </c>
    </row>
    <row r="339" spans="38:51" x14ac:dyDescent="0.35">
      <c r="AL339" s="19" t="s">
        <v>348</v>
      </c>
      <c r="AM339">
        <f t="shared" si="38"/>
        <v>0</v>
      </c>
      <c r="AN339">
        <f t="shared" si="50"/>
        <v>0</v>
      </c>
      <c r="AO339">
        <f t="shared" si="39"/>
        <v>0</v>
      </c>
      <c r="AP339">
        <f t="shared" si="40"/>
        <v>0</v>
      </c>
      <c r="AQ339">
        <f t="shared" si="41"/>
        <v>0</v>
      </c>
      <c r="AR339">
        <f t="shared" si="42"/>
        <v>1</v>
      </c>
      <c r="AS339">
        <f t="shared" si="43"/>
        <v>1</v>
      </c>
      <c r="AT339">
        <f t="shared" si="44"/>
        <v>0</v>
      </c>
      <c r="AU339">
        <f t="shared" si="45"/>
        <v>1</v>
      </c>
      <c r="AV339">
        <f t="shared" si="46"/>
        <v>0</v>
      </c>
      <c r="AW339">
        <f t="shared" si="47"/>
        <v>0</v>
      </c>
      <c r="AX339">
        <f t="shared" si="48"/>
        <v>0</v>
      </c>
      <c r="AY339">
        <f t="shared" si="49"/>
        <v>0</v>
      </c>
    </row>
    <row r="340" spans="38:51" x14ac:dyDescent="0.35">
      <c r="AL340" s="19" t="s">
        <v>349</v>
      </c>
      <c r="AM340">
        <f t="shared" si="38"/>
        <v>0</v>
      </c>
      <c r="AN340">
        <f t="shared" si="50"/>
        <v>5</v>
      </c>
      <c r="AO340">
        <f t="shared" si="39"/>
        <v>6</v>
      </c>
      <c r="AP340">
        <f t="shared" si="40"/>
        <v>1</v>
      </c>
      <c r="AQ340">
        <f t="shared" si="41"/>
        <v>7</v>
      </c>
      <c r="AR340">
        <f t="shared" si="42"/>
        <v>7</v>
      </c>
      <c r="AS340">
        <f t="shared" si="43"/>
        <v>3</v>
      </c>
      <c r="AT340">
        <f t="shared" si="44"/>
        <v>3</v>
      </c>
      <c r="AU340">
        <f t="shared" si="45"/>
        <v>1</v>
      </c>
      <c r="AV340">
        <f t="shared" si="46"/>
        <v>2</v>
      </c>
      <c r="AW340">
        <f t="shared" si="47"/>
        <v>0</v>
      </c>
      <c r="AX340">
        <f t="shared" si="48"/>
        <v>0</v>
      </c>
      <c r="AY340">
        <f t="shared" si="49"/>
        <v>0</v>
      </c>
    </row>
    <row r="341" spans="38:51" x14ac:dyDescent="0.35">
      <c r="AL341" s="19" t="s">
        <v>350</v>
      </c>
      <c r="AM341">
        <f t="shared" si="38"/>
        <v>0</v>
      </c>
      <c r="AN341">
        <f t="shared" si="50"/>
        <v>0</v>
      </c>
      <c r="AO341">
        <f t="shared" si="39"/>
        <v>0</v>
      </c>
      <c r="AP341">
        <f t="shared" si="40"/>
        <v>0</v>
      </c>
      <c r="AQ341">
        <f t="shared" si="41"/>
        <v>0</v>
      </c>
      <c r="AR341">
        <f t="shared" si="42"/>
        <v>0</v>
      </c>
      <c r="AS341">
        <f t="shared" si="43"/>
        <v>0</v>
      </c>
      <c r="AT341">
        <f t="shared" si="44"/>
        <v>0</v>
      </c>
      <c r="AU341">
        <f t="shared" si="45"/>
        <v>0</v>
      </c>
      <c r="AV341">
        <f t="shared" si="46"/>
        <v>0</v>
      </c>
      <c r="AW341">
        <f t="shared" si="47"/>
        <v>0</v>
      </c>
      <c r="AX341">
        <f t="shared" si="48"/>
        <v>0</v>
      </c>
      <c r="AY341">
        <f t="shared" si="49"/>
        <v>0</v>
      </c>
    </row>
    <row r="342" spans="38:51" x14ac:dyDescent="0.35">
      <c r="AL342" s="19" t="s">
        <v>351</v>
      </c>
      <c r="AM342">
        <f t="shared" si="38"/>
        <v>0</v>
      </c>
      <c r="AN342">
        <f t="shared" si="50"/>
        <v>0</v>
      </c>
      <c r="AO342">
        <f t="shared" si="39"/>
        <v>2</v>
      </c>
      <c r="AP342">
        <f t="shared" si="40"/>
        <v>1</v>
      </c>
      <c r="AQ342">
        <f t="shared" si="41"/>
        <v>4</v>
      </c>
      <c r="AR342">
        <f t="shared" si="42"/>
        <v>2</v>
      </c>
      <c r="AS342">
        <f t="shared" si="43"/>
        <v>1</v>
      </c>
      <c r="AT342">
        <f t="shared" si="44"/>
        <v>0</v>
      </c>
      <c r="AU342">
        <f t="shared" si="45"/>
        <v>0</v>
      </c>
      <c r="AV342">
        <f t="shared" si="46"/>
        <v>0</v>
      </c>
      <c r="AW342">
        <f t="shared" si="47"/>
        <v>0</v>
      </c>
      <c r="AX342">
        <f t="shared" si="48"/>
        <v>0</v>
      </c>
      <c r="AY342">
        <f t="shared" si="49"/>
        <v>0</v>
      </c>
    </row>
    <row r="343" spans="38:51" x14ac:dyDescent="0.35">
      <c r="AL343" s="19" t="s">
        <v>352</v>
      </c>
      <c r="AM343">
        <f t="shared" si="38"/>
        <v>0</v>
      </c>
      <c r="AN343">
        <f t="shared" si="50"/>
        <v>1</v>
      </c>
      <c r="AO343">
        <f t="shared" si="39"/>
        <v>2</v>
      </c>
      <c r="AP343">
        <f t="shared" si="40"/>
        <v>1</v>
      </c>
      <c r="AQ343">
        <f t="shared" si="41"/>
        <v>3</v>
      </c>
      <c r="AR343">
        <f t="shared" si="42"/>
        <v>5</v>
      </c>
      <c r="AS343">
        <f t="shared" si="43"/>
        <v>5</v>
      </c>
      <c r="AT343">
        <f t="shared" si="44"/>
        <v>1</v>
      </c>
      <c r="AU343">
        <f t="shared" si="45"/>
        <v>0</v>
      </c>
      <c r="AV343">
        <f t="shared" si="46"/>
        <v>0</v>
      </c>
      <c r="AW343">
        <f t="shared" si="47"/>
        <v>0</v>
      </c>
      <c r="AX343">
        <f t="shared" si="48"/>
        <v>0</v>
      </c>
      <c r="AY343">
        <f t="shared" si="49"/>
        <v>0</v>
      </c>
    </row>
    <row r="344" spans="38:51" x14ac:dyDescent="0.35">
      <c r="AL344" s="19" t="s">
        <v>353</v>
      </c>
      <c r="AM344">
        <f t="shared" si="38"/>
        <v>0</v>
      </c>
      <c r="AN344">
        <f t="shared" si="50"/>
        <v>0</v>
      </c>
      <c r="AO344">
        <f t="shared" si="39"/>
        <v>0</v>
      </c>
      <c r="AP344">
        <f t="shared" si="40"/>
        <v>0</v>
      </c>
      <c r="AQ344">
        <f t="shared" si="41"/>
        <v>0</v>
      </c>
      <c r="AR344">
        <f t="shared" si="42"/>
        <v>0</v>
      </c>
      <c r="AS344">
        <f t="shared" si="43"/>
        <v>0</v>
      </c>
      <c r="AT344">
        <f t="shared" si="44"/>
        <v>0</v>
      </c>
      <c r="AU344">
        <f t="shared" si="45"/>
        <v>0</v>
      </c>
      <c r="AV344">
        <f t="shared" si="46"/>
        <v>0</v>
      </c>
      <c r="AW344">
        <f t="shared" si="47"/>
        <v>0</v>
      </c>
      <c r="AX344">
        <f t="shared" si="48"/>
        <v>0</v>
      </c>
      <c r="AY344">
        <f t="shared" si="49"/>
        <v>0</v>
      </c>
    </row>
    <row r="345" spans="38:51" x14ac:dyDescent="0.35">
      <c r="AL345" s="19" t="s">
        <v>354</v>
      </c>
      <c r="AM345">
        <f t="shared" si="38"/>
        <v>1</v>
      </c>
      <c r="AN345">
        <f t="shared" si="50"/>
        <v>0</v>
      </c>
      <c r="AO345">
        <f t="shared" si="39"/>
        <v>0</v>
      </c>
      <c r="AP345">
        <f t="shared" si="40"/>
        <v>0</v>
      </c>
      <c r="AQ345">
        <f t="shared" si="41"/>
        <v>0</v>
      </c>
      <c r="AR345">
        <f t="shared" si="42"/>
        <v>0</v>
      </c>
      <c r="AS345">
        <f t="shared" si="43"/>
        <v>0</v>
      </c>
      <c r="AT345">
        <f t="shared" si="44"/>
        <v>0</v>
      </c>
      <c r="AU345">
        <f t="shared" si="45"/>
        <v>0</v>
      </c>
      <c r="AV345">
        <f t="shared" si="46"/>
        <v>0</v>
      </c>
      <c r="AW345">
        <f t="shared" si="47"/>
        <v>0</v>
      </c>
      <c r="AX345">
        <f t="shared" si="48"/>
        <v>0</v>
      </c>
      <c r="AY345">
        <f t="shared" si="49"/>
        <v>0</v>
      </c>
    </row>
    <row r="346" spans="38:51" x14ac:dyDescent="0.35">
      <c r="AL346" s="19" t="s">
        <v>355</v>
      </c>
      <c r="AM346">
        <f t="shared" si="38"/>
        <v>0</v>
      </c>
      <c r="AN346">
        <f t="shared" si="50"/>
        <v>0</v>
      </c>
      <c r="AO346">
        <f t="shared" si="39"/>
        <v>0</v>
      </c>
      <c r="AP346">
        <f t="shared" si="40"/>
        <v>0</v>
      </c>
      <c r="AQ346">
        <f t="shared" si="41"/>
        <v>0</v>
      </c>
      <c r="AR346">
        <f t="shared" si="42"/>
        <v>0</v>
      </c>
      <c r="AS346">
        <f t="shared" si="43"/>
        <v>0</v>
      </c>
      <c r="AT346">
        <f t="shared" si="44"/>
        <v>0</v>
      </c>
      <c r="AU346">
        <f t="shared" si="45"/>
        <v>0</v>
      </c>
      <c r="AV346">
        <f t="shared" si="46"/>
        <v>0</v>
      </c>
      <c r="AW346">
        <f t="shared" si="47"/>
        <v>0</v>
      </c>
      <c r="AX346">
        <f t="shared" si="48"/>
        <v>0</v>
      </c>
      <c r="AY346">
        <f t="shared" si="49"/>
        <v>0</v>
      </c>
    </row>
    <row r="347" spans="38:51" x14ac:dyDescent="0.35">
      <c r="AL347" s="19" t="s">
        <v>356</v>
      </c>
      <c r="AM347">
        <f t="shared" si="38"/>
        <v>3</v>
      </c>
      <c r="AN347">
        <f t="shared" si="50"/>
        <v>0</v>
      </c>
      <c r="AO347">
        <f t="shared" si="39"/>
        <v>0</v>
      </c>
      <c r="AP347">
        <f t="shared" si="40"/>
        <v>0</v>
      </c>
      <c r="AQ347">
        <f t="shared" si="41"/>
        <v>0</v>
      </c>
      <c r="AR347">
        <f t="shared" si="42"/>
        <v>0</v>
      </c>
      <c r="AS347">
        <f t="shared" si="43"/>
        <v>1</v>
      </c>
      <c r="AT347">
        <f t="shared" si="44"/>
        <v>0</v>
      </c>
      <c r="AU347">
        <f t="shared" si="45"/>
        <v>0</v>
      </c>
      <c r="AV347">
        <f t="shared" si="46"/>
        <v>0</v>
      </c>
      <c r="AW347">
        <f t="shared" si="47"/>
        <v>0</v>
      </c>
      <c r="AX347">
        <f t="shared" si="48"/>
        <v>0</v>
      </c>
      <c r="AY347">
        <f t="shared" si="49"/>
        <v>0</v>
      </c>
    </row>
    <row r="348" spans="38:51" x14ac:dyDescent="0.35">
      <c r="AL348" s="19" t="s">
        <v>357</v>
      </c>
      <c r="AM348">
        <f t="shared" si="38"/>
        <v>0</v>
      </c>
      <c r="AN348">
        <f t="shared" si="50"/>
        <v>1</v>
      </c>
      <c r="AO348">
        <f t="shared" si="39"/>
        <v>3</v>
      </c>
      <c r="AP348">
        <f t="shared" si="40"/>
        <v>0</v>
      </c>
      <c r="AQ348">
        <f t="shared" si="41"/>
        <v>0</v>
      </c>
      <c r="AR348">
        <f t="shared" si="42"/>
        <v>7</v>
      </c>
      <c r="AS348">
        <f t="shared" si="43"/>
        <v>5</v>
      </c>
      <c r="AT348">
        <f t="shared" si="44"/>
        <v>5</v>
      </c>
      <c r="AU348">
        <f t="shared" si="45"/>
        <v>1</v>
      </c>
      <c r="AV348">
        <f t="shared" si="46"/>
        <v>0</v>
      </c>
      <c r="AW348">
        <f t="shared" si="47"/>
        <v>0</v>
      </c>
      <c r="AX348">
        <f t="shared" si="48"/>
        <v>0</v>
      </c>
      <c r="AY348">
        <f t="shared" si="49"/>
        <v>0</v>
      </c>
    </row>
    <row r="349" spans="38:51" x14ac:dyDescent="0.35">
      <c r="AL349" s="19" t="s">
        <v>358</v>
      </c>
      <c r="AM349">
        <f t="shared" si="38"/>
        <v>0</v>
      </c>
      <c r="AN349">
        <f t="shared" si="50"/>
        <v>2</v>
      </c>
      <c r="AO349">
        <f t="shared" si="39"/>
        <v>1</v>
      </c>
      <c r="AP349">
        <f t="shared" si="40"/>
        <v>0</v>
      </c>
      <c r="AQ349">
        <f t="shared" si="41"/>
        <v>0</v>
      </c>
      <c r="AR349">
        <f t="shared" si="42"/>
        <v>2</v>
      </c>
      <c r="AS349">
        <f t="shared" si="43"/>
        <v>2</v>
      </c>
      <c r="AT349">
        <f t="shared" si="44"/>
        <v>1</v>
      </c>
      <c r="AU349">
        <f t="shared" si="45"/>
        <v>2</v>
      </c>
      <c r="AV349">
        <f t="shared" si="46"/>
        <v>1</v>
      </c>
      <c r="AW349">
        <f t="shared" si="47"/>
        <v>0</v>
      </c>
      <c r="AX349">
        <f t="shared" si="48"/>
        <v>0</v>
      </c>
      <c r="AY349">
        <f t="shared" si="49"/>
        <v>0</v>
      </c>
    </row>
    <row r="350" spans="38:51" x14ac:dyDescent="0.35">
      <c r="AL350" s="19" t="s">
        <v>359</v>
      </c>
      <c r="AM350">
        <f t="shared" si="38"/>
        <v>0</v>
      </c>
      <c r="AN350">
        <f t="shared" si="50"/>
        <v>0</v>
      </c>
      <c r="AO350">
        <f t="shared" si="39"/>
        <v>0</v>
      </c>
      <c r="AP350">
        <f t="shared" si="40"/>
        <v>0</v>
      </c>
      <c r="AQ350">
        <f t="shared" si="41"/>
        <v>0</v>
      </c>
      <c r="AR350">
        <f t="shared" si="42"/>
        <v>0</v>
      </c>
      <c r="AS350">
        <f t="shared" si="43"/>
        <v>0</v>
      </c>
      <c r="AT350">
        <f t="shared" si="44"/>
        <v>0</v>
      </c>
      <c r="AU350">
        <f t="shared" si="45"/>
        <v>0</v>
      </c>
      <c r="AV350">
        <f t="shared" si="46"/>
        <v>0</v>
      </c>
      <c r="AW350">
        <f t="shared" si="47"/>
        <v>0</v>
      </c>
      <c r="AX350">
        <f t="shared" si="48"/>
        <v>0</v>
      </c>
      <c r="AY350">
        <f t="shared" si="49"/>
        <v>0</v>
      </c>
    </row>
    <row r="351" spans="38:51" x14ac:dyDescent="0.35">
      <c r="AL351" s="19" t="s">
        <v>360</v>
      </c>
      <c r="AM351">
        <f t="shared" si="38"/>
        <v>0</v>
      </c>
      <c r="AN351">
        <f t="shared" si="50"/>
        <v>2</v>
      </c>
      <c r="AO351">
        <f t="shared" si="39"/>
        <v>6</v>
      </c>
      <c r="AP351">
        <f t="shared" si="40"/>
        <v>1</v>
      </c>
      <c r="AQ351">
        <f t="shared" si="41"/>
        <v>0</v>
      </c>
      <c r="AR351">
        <f t="shared" si="42"/>
        <v>2</v>
      </c>
      <c r="AS351">
        <f t="shared" si="43"/>
        <v>2</v>
      </c>
      <c r="AT351">
        <f t="shared" si="44"/>
        <v>2</v>
      </c>
      <c r="AU351">
        <f t="shared" si="45"/>
        <v>0</v>
      </c>
      <c r="AV351">
        <f t="shared" si="46"/>
        <v>0</v>
      </c>
      <c r="AW351">
        <f t="shared" si="47"/>
        <v>0</v>
      </c>
      <c r="AX351">
        <f t="shared" si="48"/>
        <v>1</v>
      </c>
      <c r="AY351">
        <f t="shared" si="49"/>
        <v>0</v>
      </c>
    </row>
    <row r="352" spans="38:51" x14ac:dyDescent="0.35">
      <c r="AL352" s="19" t="s">
        <v>361</v>
      </c>
      <c r="AM352">
        <f t="shared" si="38"/>
        <v>0</v>
      </c>
      <c r="AN352">
        <f t="shared" si="50"/>
        <v>0</v>
      </c>
      <c r="AO352">
        <f t="shared" si="39"/>
        <v>0</v>
      </c>
      <c r="AP352">
        <f t="shared" si="40"/>
        <v>0</v>
      </c>
      <c r="AQ352">
        <f t="shared" si="41"/>
        <v>0</v>
      </c>
      <c r="AR352">
        <f t="shared" si="42"/>
        <v>0</v>
      </c>
      <c r="AS352">
        <f t="shared" si="43"/>
        <v>0</v>
      </c>
      <c r="AT352">
        <f t="shared" si="44"/>
        <v>0</v>
      </c>
      <c r="AU352">
        <f t="shared" si="45"/>
        <v>0</v>
      </c>
      <c r="AV352">
        <f t="shared" si="46"/>
        <v>0</v>
      </c>
      <c r="AW352">
        <f t="shared" si="47"/>
        <v>0</v>
      </c>
      <c r="AX352">
        <f t="shared" si="48"/>
        <v>0</v>
      </c>
      <c r="AY352">
        <f t="shared" si="49"/>
        <v>0</v>
      </c>
    </row>
    <row r="353" spans="38:51" x14ac:dyDescent="0.35">
      <c r="AL353" s="19" t="s">
        <v>362</v>
      </c>
      <c r="AM353">
        <f t="shared" si="38"/>
        <v>5</v>
      </c>
      <c r="AN353">
        <f t="shared" si="50"/>
        <v>6</v>
      </c>
      <c r="AO353">
        <f t="shared" si="39"/>
        <v>3</v>
      </c>
      <c r="AP353">
        <f t="shared" si="40"/>
        <v>5</v>
      </c>
      <c r="AQ353">
        <f t="shared" si="41"/>
        <v>6</v>
      </c>
      <c r="AR353">
        <f t="shared" si="42"/>
        <v>4</v>
      </c>
      <c r="AS353">
        <f t="shared" si="43"/>
        <v>3</v>
      </c>
      <c r="AT353">
        <f t="shared" si="44"/>
        <v>6</v>
      </c>
      <c r="AU353">
        <f t="shared" si="45"/>
        <v>6</v>
      </c>
      <c r="AV353">
        <f t="shared" si="46"/>
        <v>7</v>
      </c>
      <c r="AW353">
        <f t="shared" si="47"/>
        <v>4</v>
      </c>
      <c r="AX353">
        <f t="shared" si="48"/>
        <v>6</v>
      </c>
      <c r="AY353">
        <f t="shared" si="49"/>
        <v>6</v>
      </c>
    </row>
    <row r="354" spans="38:51" x14ac:dyDescent="0.35">
      <c r="AL354" s="19" t="s">
        <v>363</v>
      </c>
      <c r="AM354">
        <f>COUNTIF($AM70:$AS70,"&gt;=95%")</f>
        <v>1</v>
      </c>
      <c r="AN354">
        <f>COUNTIF($AU70:$BA70,"&gt;=95%")</f>
        <v>0</v>
      </c>
      <c r="AO354">
        <f t="shared" si="39"/>
        <v>0</v>
      </c>
      <c r="AP354">
        <f t="shared" si="40"/>
        <v>0</v>
      </c>
      <c r="AQ354">
        <f t="shared" si="41"/>
        <v>0</v>
      </c>
      <c r="AR354">
        <f t="shared" si="42"/>
        <v>0</v>
      </c>
      <c r="AS354">
        <f t="shared" si="43"/>
        <v>0</v>
      </c>
      <c r="AT354">
        <f t="shared" si="44"/>
        <v>0</v>
      </c>
      <c r="AU354">
        <f t="shared" si="45"/>
        <v>0</v>
      </c>
      <c r="AV354">
        <f t="shared" si="46"/>
        <v>0</v>
      </c>
      <c r="AW354">
        <f t="shared" si="47"/>
        <v>0</v>
      </c>
      <c r="AX354">
        <f t="shared" si="48"/>
        <v>0</v>
      </c>
      <c r="AY354">
        <f t="shared" si="49"/>
        <v>0</v>
      </c>
    </row>
    <row r="355" spans="38:51" x14ac:dyDescent="0.35">
      <c r="AL355" s="19" t="s">
        <v>364</v>
      </c>
      <c r="AM355">
        <f t="shared" si="38"/>
        <v>1</v>
      </c>
      <c r="AN355">
        <f t="shared" si="50"/>
        <v>2</v>
      </c>
      <c r="AO355">
        <f t="shared" si="39"/>
        <v>2</v>
      </c>
      <c r="AP355">
        <f t="shared" si="40"/>
        <v>0</v>
      </c>
      <c r="AQ355">
        <f t="shared" si="41"/>
        <v>2</v>
      </c>
      <c r="AR355">
        <f t="shared" si="42"/>
        <v>2</v>
      </c>
      <c r="AS355">
        <f t="shared" si="43"/>
        <v>0</v>
      </c>
      <c r="AT355">
        <f t="shared" si="44"/>
        <v>0</v>
      </c>
      <c r="AU355">
        <f t="shared" si="45"/>
        <v>0</v>
      </c>
      <c r="AV355">
        <f t="shared" si="46"/>
        <v>0</v>
      </c>
      <c r="AW355">
        <f t="shared" si="47"/>
        <v>0</v>
      </c>
      <c r="AX355">
        <f t="shared" si="48"/>
        <v>0</v>
      </c>
      <c r="AY355">
        <f t="shared" si="49"/>
        <v>0</v>
      </c>
    </row>
    <row r="356" spans="38:51" x14ac:dyDescent="0.35">
      <c r="AL356" s="19" t="s">
        <v>365</v>
      </c>
      <c r="AM356">
        <f t="shared" si="38"/>
        <v>2</v>
      </c>
      <c r="AN356">
        <f t="shared" si="50"/>
        <v>0</v>
      </c>
      <c r="AO356">
        <f t="shared" si="39"/>
        <v>0</v>
      </c>
      <c r="AP356">
        <f t="shared" si="40"/>
        <v>0</v>
      </c>
      <c r="AQ356">
        <f t="shared" si="41"/>
        <v>0</v>
      </c>
      <c r="AR356">
        <f t="shared" si="42"/>
        <v>2</v>
      </c>
      <c r="AS356">
        <f t="shared" si="43"/>
        <v>1</v>
      </c>
      <c r="AT356">
        <f t="shared" si="44"/>
        <v>0</v>
      </c>
      <c r="AU356">
        <f t="shared" si="45"/>
        <v>0</v>
      </c>
      <c r="AV356">
        <f t="shared" si="46"/>
        <v>0</v>
      </c>
      <c r="AW356">
        <f t="shared" si="47"/>
        <v>0</v>
      </c>
      <c r="AX356">
        <f t="shared" si="48"/>
        <v>0</v>
      </c>
      <c r="AY356">
        <f t="shared" si="49"/>
        <v>0</v>
      </c>
    </row>
    <row r="357" spans="38:51" x14ac:dyDescent="0.35">
      <c r="AL357" s="19" t="s">
        <v>366</v>
      </c>
      <c r="AM357">
        <f t="shared" ref="AM357:AM417" si="51">COUNTIF($AM73:$AS73,"&gt;=95%")</f>
        <v>0</v>
      </c>
      <c r="AN357">
        <f t="shared" ref="AN357:AN418" si="52">COUNTIF($AU73:$BA73,"&gt;=95%")</f>
        <v>0</v>
      </c>
      <c r="AO357">
        <f t="shared" ref="AO357:AO418" si="53">COUNTIF($BC73:$BI73,"&gt;=95%")</f>
        <v>0</v>
      </c>
      <c r="AP357">
        <f t="shared" ref="AP357:AP418" si="54">COUNTIF($BK73:$BQ73,"&gt;=95%")</f>
        <v>0</v>
      </c>
      <c r="AQ357">
        <f t="shared" ref="AQ357:AQ418" si="55">COUNTIF($BS73:$BY73,"&gt;=95%")</f>
        <v>0</v>
      </c>
      <c r="AR357">
        <f t="shared" ref="AR357:AR418" si="56">COUNTIF($CA73:$CG73,"&gt;=95%")</f>
        <v>0</v>
      </c>
      <c r="AS357">
        <f t="shared" ref="AS357:AS418" si="57">COUNTIF($CI73:$CO73,"&gt;=95%")</f>
        <v>0</v>
      </c>
      <c r="AT357">
        <f t="shared" ref="AT357:AT418" si="58">COUNTIF($CQ73:$CW73,"&gt;=95%")</f>
        <v>0</v>
      </c>
      <c r="AU357">
        <f t="shared" ref="AU357:AU418" si="59">COUNTIF($CY73:$DE73,"&gt;=95%")</f>
        <v>0</v>
      </c>
      <c r="AV357">
        <f t="shared" ref="AV357:AV418" si="60">COUNTIF($DG73:$DM73,"&gt;=95%")</f>
        <v>0</v>
      </c>
      <c r="AW357">
        <f t="shared" ref="AW357:AW418" si="61">COUNTIF($DO73:$DU73,"&gt;=95%")</f>
        <v>0</v>
      </c>
      <c r="AX357">
        <f t="shared" ref="AX357:AX418" si="62">COUNTIF($DW73:$EC73,"&gt;=95%")</f>
        <v>0</v>
      </c>
      <c r="AY357">
        <f t="shared" ref="AY357:AY418" si="63">COUNTIF($EE73:$EK73,"&gt;=95%")</f>
        <v>0</v>
      </c>
    </row>
    <row r="358" spans="38:51" x14ac:dyDescent="0.35">
      <c r="AL358" s="19" t="s">
        <v>367</v>
      </c>
      <c r="AM358">
        <f t="shared" si="51"/>
        <v>2</v>
      </c>
      <c r="AN358">
        <f t="shared" si="52"/>
        <v>1</v>
      </c>
      <c r="AO358">
        <f t="shared" si="53"/>
        <v>0</v>
      </c>
      <c r="AP358">
        <f t="shared" si="54"/>
        <v>0</v>
      </c>
      <c r="AQ358">
        <f t="shared" si="55"/>
        <v>0</v>
      </c>
      <c r="AR358">
        <f t="shared" si="56"/>
        <v>0</v>
      </c>
      <c r="AS358">
        <f t="shared" si="57"/>
        <v>0</v>
      </c>
      <c r="AT358">
        <f t="shared" si="58"/>
        <v>0</v>
      </c>
      <c r="AU358">
        <f t="shared" si="59"/>
        <v>0</v>
      </c>
      <c r="AV358">
        <f t="shared" si="60"/>
        <v>0</v>
      </c>
      <c r="AW358">
        <f t="shared" si="61"/>
        <v>0</v>
      </c>
      <c r="AX358">
        <f t="shared" si="62"/>
        <v>0</v>
      </c>
      <c r="AY358">
        <f t="shared" si="63"/>
        <v>0</v>
      </c>
    </row>
    <row r="359" spans="38:51" x14ac:dyDescent="0.35">
      <c r="AL359" s="19" t="s">
        <v>368</v>
      </c>
      <c r="AM359">
        <f t="shared" si="51"/>
        <v>0</v>
      </c>
      <c r="AN359">
        <f t="shared" si="52"/>
        <v>0</v>
      </c>
      <c r="AO359">
        <f t="shared" si="53"/>
        <v>0</v>
      </c>
      <c r="AP359">
        <f t="shared" si="54"/>
        <v>0</v>
      </c>
      <c r="AQ359">
        <f t="shared" si="55"/>
        <v>0</v>
      </c>
      <c r="AR359">
        <f t="shared" si="56"/>
        <v>0</v>
      </c>
      <c r="AS359">
        <f t="shared" si="57"/>
        <v>0</v>
      </c>
      <c r="AT359">
        <f t="shared" si="58"/>
        <v>0</v>
      </c>
      <c r="AU359">
        <f t="shared" si="59"/>
        <v>0</v>
      </c>
      <c r="AV359">
        <f t="shared" si="60"/>
        <v>0</v>
      </c>
      <c r="AW359">
        <f t="shared" si="61"/>
        <v>0</v>
      </c>
      <c r="AX359">
        <f t="shared" si="62"/>
        <v>0</v>
      </c>
      <c r="AY359">
        <f t="shared" si="63"/>
        <v>0</v>
      </c>
    </row>
    <row r="360" spans="38:51" x14ac:dyDescent="0.35">
      <c r="AL360" s="19" t="s">
        <v>369</v>
      </c>
      <c r="AM360">
        <f t="shared" si="51"/>
        <v>0</v>
      </c>
      <c r="AN360">
        <f t="shared" si="52"/>
        <v>0</v>
      </c>
      <c r="AO360">
        <f t="shared" si="53"/>
        <v>0</v>
      </c>
      <c r="AP360">
        <f t="shared" si="54"/>
        <v>0</v>
      </c>
      <c r="AQ360">
        <f t="shared" si="55"/>
        <v>0</v>
      </c>
      <c r="AR360">
        <f t="shared" si="56"/>
        <v>0</v>
      </c>
      <c r="AS360">
        <f t="shared" si="57"/>
        <v>0</v>
      </c>
      <c r="AT360">
        <f t="shared" si="58"/>
        <v>0</v>
      </c>
      <c r="AU360">
        <f t="shared" si="59"/>
        <v>0</v>
      </c>
      <c r="AV360">
        <f t="shared" si="60"/>
        <v>0</v>
      </c>
      <c r="AW360">
        <f t="shared" si="61"/>
        <v>0</v>
      </c>
      <c r="AX360">
        <f t="shared" si="62"/>
        <v>0</v>
      </c>
      <c r="AY360">
        <f t="shared" si="63"/>
        <v>0</v>
      </c>
    </row>
    <row r="361" spans="38:51" x14ac:dyDescent="0.35">
      <c r="AL361" s="19" t="s">
        <v>370</v>
      </c>
      <c r="AM361">
        <f t="shared" si="51"/>
        <v>0</v>
      </c>
      <c r="AN361">
        <f t="shared" si="52"/>
        <v>0</v>
      </c>
      <c r="AO361">
        <f t="shared" si="53"/>
        <v>0</v>
      </c>
      <c r="AP361">
        <f t="shared" si="54"/>
        <v>0</v>
      </c>
      <c r="AQ361">
        <f t="shared" si="55"/>
        <v>0</v>
      </c>
      <c r="AR361">
        <f t="shared" si="56"/>
        <v>0</v>
      </c>
      <c r="AS361">
        <f t="shared" si="57"/>
        <v>0</v>
      </c>
      <c r="AT361">
        <f t="shared" si="58"/>
        <v>1</v>
      </c>
      <c r="AU361">
        <f t="shared" si="59"/>
        <v>0</v>
      </c>
      <c r="AV361">
        <f t="shared" si="60"/>
        <v>0</v>
      </c>
      <c r="AW361">
        <f t="shared" si="61"/>
        <v>0</v>
      </c>
      <c r="AX361">
        <f t="shared" si="62"/>
        <v>0</v>
      </c>
      <c r="AY361">
        <f t="shared" si="63"/>
        <v>0</v>
      </c>
    </row>
    <row r="362" spans="38:51" x14ac:dyDescent="0.35">
      <c r="AL362" s="19" t="s">
        <v>371</v>
      </c>
      <c r="AM362">
        <f t="shared" si="51"/>
        <v>0</v>
      </c>
      <c r="AN362">
        <f t="shared" si="52"/>
        <v>0</v>
      </c>
      <c r="AO362">
        <f t="shared" si="53"/>
        <v>0</v>
      </c>
      <c r="AP362">
        <f t="shared" si="54"/>
        <v>0</v>
      </c>
      <c r="AQ362">
        <f t="shared" si="55"/>
        <v>0</v>
      </c>
      <c r="AR362">
        <f t="shared" si="56"/>
        <v>0</v>
      </c>
      <c r="AS362">
        <f t="shared" si="57"/>
        <v>0</v>
      </c>
      <c r="AT362">
        <f t="shared" si="58"/>
        <v>0</v>
      </c>
      <c r="AU362">
        <f t="shared" si="59"/>
        <v>0</v>
      </c>
      <c r="AV362">
        <f t="shared" si="60"/>
        <v>0</v>
      </c>
      <c r="AW362">
        <f t="shared" si="61"/>
        <v>0</v>
      </c>
      <c r="AX362">
        <f t="shared" si="62"/>
        <v>0</v>
      </c>
      <c r="AY362">
        <f t="shared" si="63"/>
        <v>0</v>
      </c>
    </row>
    <row r="363" spans="38:51" x14ac:dyDescent="0.35">
      <c r="AL363" s="19" t="s">
        <v>372</v>
      </c>
      <c r="AM363">
        <f t="shared" si="51"/>
        <v>0</v>
      </c>
      <c r="AN363">
        <f t="shared" si="52"/>
        <v>0</v>
      </c>
      <c r="AO363">
        <f t="shared" si="53"/>
        <v>0</v>
      </c>
      <c r="AP363">
        <f t="shared" si="54"/>
        <v>0</v>
      </c>
      <c r="AQ363">
        <f t="shared" si="55"/>
        <v>1</v>
      </c>
      <c r="AR363">
        <f t="shared" si="56"/>
        <v>3</v>
      </c>
      <c r="AS363">
        <f t="shared" si="57"/>
        <v>1</v>
      </c>
      <c r="AT363">
        <f t="shared" si="58"/>
        <v>1</v>
      </c>
      <c r="AU363">
        <f t="shared" si="59"/>
        <v>2</v>
      </c>
      <c r="AV363">
        <f t="shared" si="60"/>
        <v>0</v>
      </c>
      <c r="AW363">
        <f t="shared" si="61"/>
        <v>0</v>
      </c>
      <c r="AX363">
        <f t="shared" si="62"/>
        <v>0</v>
      </c>
      <c r="AY363">
        <f t="shared" si="63"/>
        <v>1</v>
      </c>
    </row>
    <row r="364" spans="38:51" x14ac:dyDescent="0.35">
      <c r="AL364" s="19" t="s">
        <v>373</v>
      </c>
      <c r="AM364">
        <f t="shared" si="51"/>
        <v>0</v>
      </c>
      <c r="AN364">
        <f t="shared" si="52"/>
        <v>0</v>
      </c>
      <c r="AO364">
        <f t="shared" si="53"/>
        <v>0</v>
      </c>
      <c r="AP364">
        <f t="shared" si="54"/>
        <v>0</v>
      </c>
      <c r="AQ364">
        <f t="shared" si="55"/>
        <v>0</v>
      </c>
      <c r="AR364">
        <f t="shared" si="56"/>
        <v>0</v>
      </c>
      <c r="AS364">
        <f t="shared" si="57"/>
        <v>0</v>
      </c>
      <c r="AT364">
        <f t="shared" si="58"/>
        <v>0</v>
      </c>
      <c r="AU364">
        <f t="shared" si="59"/>
        <v>0</v>
      </c>
      <c r="AV364">
        <f t="shared" si="60"/>
        <v>0</v>
      </c>
      <c r="AW364">
        <f t="shared" si="61"/>
        <v>0</v>
      </c>
      <c r="AX364">
        <f t="shared" si="62"/>
        <v>0</v>
      </c>
      <c r="AY364">
        <f t="shared" si="63"/>
        <v>0</v>
      </c>
    </row>
    <row r="365" spans="38:51" x14ac:dyDescent="0.35">
      <c r="AL365" s="19" t="s">
        <v>374</v>
      </c>
      <c r="AM365">
        <f t="shared" si="51"/>
        <v>0</v>
      </c>
      <c r="AN365">
        <f t="shared" si="52"/>
        <v>0</v>
      </c>
      <c r="AO365">
        <f t="shared" si="53"/>
        <v>0</v>
      </c>
      <c r="AP365">
        <f t="shared" si="54"/>
        <v>0</v>
      </c>
      <c r="AQ365">
        <f t="shared" si="55"/>
        <v>0</v>
      </c>
      <c r="AR365">
        <f t="shared" si="56"/>
        <v>0</v>
      </c>
      <c r="AS365">
        <f t="shared" si="57"/>
        <v>0</v>
      </c>
      <c r="AT365">
        <f t="shared" si="58"/>
        <v>0</v>
      </c>
      <c r="AU365">
        <f t="shared" si="59"/>
        <v>0</v>
      </c>
      <c r="AV365">
        <f t="shared" si="60"/>
        <v>0</v>
      </c>
      <c r="AW365">
        <f t="shared" si="61"/>
        <v>0</v>
      </c>
      <c r="AX365">
        <f t="shared" si="62"/>
        <v>0</v>
      </c>
      <c r="AY365">
        <f t="shared" si="63"/>
        <v>0</v>
      </c>
    </row>
    <row r="366" spans="38:51" x14ac:dyDescent="0.35">
      <c r="AL366" s="19" t="s">
        <v>375</v>
      </c>
      <c r="AM366">
        <f t="shared" si="51"/>
        <v>0</v>
      </c>
      <c r="AN366">
        <f t="shared" si="52"/>
        <v>0</v>
      </c>
      <c r="AO366">
        <f t="shared" si="53"/>
        <v>0</v>
      </c>
      <c r="AP366">
        <f t="shared" si="54"/>
        <v>0</v>
      </c>
      <c r="AQ366">
        <f t="shared" si="55"/>
        <v>0</v>
      </c>
      <c r="AR366">
        <f t="shared" si="56"/>
        <v>0</v>
      </c>
      <c r="AS366">
        <f t="shared" si="57"/>
        <v>0</v>
      </c>
      <c r="AT366">
        <f t="shared" si="58"/>
        <v>0</v>
      </c>
      <c r="AU366">
        <f t="shared" si="59"/>
        <v>0</v>
      </c>
      <c r="AV366">
        <f t="shared" si="60"/>
        <v>0</v>
      </c>
      <c r="AW366">
        <f t="shared" si="61"/>
        <v>0</v>
      </c>
      <c r="AX366">
        <f t="shared" si="62"/>
        <v>0</v>
      </c>
      <c r="AY366">
        <f t="shared" si="63"/>
        <v>0</v>
      </c>
    </row>
    <row r="367" spans="38:51" x14ac:dyDescent="0.35">
      <c r="AL367" s="19" t="s">
        <v>376</v>
      </c>
      <c r="AM367">
        <f t="shared" si="51"/>
        <v>4</v>
      </c>
      <c r="AN367">
        <f t="shared" si="52"/>
        <v>4</v>
      </c>
      <c r="AO367">
        <f t="shared" si="53"/>
        <v>4</v>
      </c>
      <c r="AP367">
        <f t="shared" si="54"/>
        <v>3</v>
      </c>
      <c r="AQ367">
        <f t="shared" si="55"/>
        <v>3</v>
      </c>
      <c r="AR367">
        <f t="shared" si="56"/>
        <v>2</v>
      </c>
      <c r="AS367">
        <f t="shared" si="57"/>
        <v>1</v>
      </c>
      <c r="AT367">
        <f t="shared" si="58"/>
        <v>0</v>
      </c>
      <c r="AU367">
        <f t="shared" si="59"/>
        <v>1</v>
      </c>
      <c r="AV367">
        <f t="shared" si="60"/>
        <v>1</v>
      </c>
      <c r="AW367">
        <f t="shared" si="61"/>
        <v>0</v>
      </c>
      <c r="AX367">
        <f t="shared" si="62"/>
        <v>0</v>
      </c>
      <c r="AY367">
        <f t="shared" si="63"/>
        <v>0</v>
      </c>
    </row>
    <row r="368" spans="38:51" x14ac:dyDescent="0.35">
      <c r="AL368" s="19" t="s">
        <v>377</v>
      </c>
      <c r="AM368">
        <f t="shared" si="51"/>
        <v>0</v>
      </c>
      <c r="AN368">
        <f t="shared" si="52"/>
        <v>0</v>
      </c>
      <c r="AO368">
        <f t="shared" si="53"/>
        <v>0</v>
      </c>
      <c r="AP368">
        <f t="shared" si="54"/>
        <v>0</v>
      </c>
      <c r="AQ368">
        <f t="shared" si="55"/>
        <v>0</v>
      </c>
      <c r="AR368">
        <f t="shared" si="56"/>
        <v>0</v>
      </c>
      <c r="AS368">
        <f t="shared" si="57"/>
        <v>0</v>
      </c>
      <c r="AT368">
        <f t="shared" si="58"/>
        <v>0</v>
      </c>
      <c r="AU368">
        <f t="shared" si="59"/>
        <v>0</v>
      </c>
      <c r="AV368">
        <f t="shared" si="60"/>
        <v>0</v>
      </c>
      <c r="AW368">
        <f t="shared" si="61"/>
        <v>0</v>
      </c>
      <c r="AX368">
        <f t="shared" si="62"/>
        <v>0</v>
      </c>
      <c r="AY368">
        <f t="shared" si="63"/>
        <v>0</v>
      </c>
    </row>
    <row r="369" spans="38:51" x14ac:dyDescent="0.35">
      <c r="AL369" s="19" t="s">
        <v>378</v>
      </c>
      <c r="AM369">
        <f t="shared" si="51"/>
        <v>0</v>
      </c>
      <c r="AN369">
        <f t="shared" si="52"/>
        <v>0</v>
      </c>
      <c r="AO369">
        <f t="shared" si="53"/>
        <v>0</v>
      </c>
      <c r="AP369">
        <f t="shared" si="54"/>
        <v>0</v>
      </c>
      <c r="AQ369">
        <f t="shared" si="55"/>
        <v>0</v>
      </c>
      <c r="AR369">
        <f t="shared" si="56"/>
        <v>0</v>
      </c>
      <c r="AS369">
        <f t="shared" si="57"/>
        <v>0</v>
      </c>
      <c r="AT369">
        <f t="shared" si="58"/>
        <v>0</v>
      </c>
      <c r="AU369">
        <f t="shared" si="59"/>
        <v>0</v>
      </c>
      <c r="AV369">
        <f t="shared" si="60"/>
        <v>0</v>
      </c>
      <c r="AW369">
        <f t="shared" si="61"/>
        <v>0</v>
      </c>
      <c r="AX369">
        <f t="shared" si="62"/>
        <v>0</v>
      </c>
      <c r="AY369">
        <f t="shared" si="63"/>
        <v>0</v>
      </c>
    </row>
    <row r="370" spans="38:51" x14ac:dyDescent="0.35">
      <c r="AL370" s="19" t="s">
        <v>379</v>
      </c>
      <c r="AM370">
        <f t="shared" si="51"/>
        <v>0</v>
      </c>
      <c r="AN370">
        <f t="shared" si="52"/>
        <v>0</v>
      </c>
      <c r="AO370">
        <f t="shared" si="53"/>
        <v>3</v>
      </c>
      <c r="AP370">
        <f t="shared" si="54"/>
        <v>1</v>
      </c>
      <c r="AQ370">
        <f t="shared" si="55"/>
        <v>0</v>
      </c>
      <c r="AR370">
        <f t="shared" si="56"/>
        <v>0</v>
      </c>
      <c r="AS370">
        <f t="shared" si="57"/>
        <v>0</v>
      </c>
      <c r="AT370">
        <f t="shared" si="58"/>
        <v>0</v>
      </c>
      <c r="AU370">
        <f t="shared" si="59"/>
        <v>0</v>
      </c>
      <c r="AV370">
        <f t="shared" si="60"/>
        <v>0</v>
      </c>
      <c r="AW370">
        <f t="shared" si="61"/>
        <v>0</v>
      </c>
      <c r="AX370">
        <f t="shared" si="62"/>
        <v>0</v>
      </c>
      <c r="AY370">
        <f t="shared" si="63"/>
        <v>0</v>
      </c>
    </row>
    <row r="371" spans="38:51" x14ac:dyDescent="0.35">
      <c r="AL371" s="19" t="s">
        <v>380</v>
      </c>
      <c r="AM371">
        <f t="shared" si="51"/>
        <v>0</v>
      </c>
      <c r="AN371">
        <f t="shared" si="52"/>
        <v>3</v>
      </c>
      <c r="AO371">
        <f t="shared" si="53"/>
        <v>4</v>
      </c>
      <c r="AP371">
        <f t="shared" si="54"/>
        <v>0</v>
      </c>
      <c r="AQ371">
        <f t="shared" si="55"/>
        <v>1</v>
      </c>
      <c r="AR371">
        <f t="shared" si="56"/>
        <v>0</v>
      </c>
      <c r="AS371">
        <f t="shared" si="57"/>
        <v>0</v>
      </c>
      <c r="AT371">
        <f t="shared" si="58"/>
        <v>0</v>
      </c>
      <c r="AU371">
        <f t="shared" si="59"/>
        <v>0</v>
      </c>
      <c r="AV371">
        <f t="shared" si="60"/>
        <v>0</v>
      </c>
      <c r="AW371">
        <f t="shared" si="61"/>
        <v>0</v>
      </c>
      <c r="AX371">
        <f t="shared" si="62"/>
        <v>0</v>
      </c>
      <c r="AY371">
        <f t="shared" si="63"/>
        <v>0</v>
      </c>
    </row>
    <row r="372" spans="38:51" x14ac:dyDescent="0.35">
      <c r="AL372" s="19" t="s">
        <v>381</v>
      </c>
      <c r="AM372">
        <f t="shared" si="51"/>
        <v>0</v>
      </c>
      <c r="AN372">
        <f t="shared" si="52"/>
        <v>0</v>
      </c>
      <c r="AO372">
        <f t="shared" si="53"/>
        <v>0</v>
      </c>
      <c r="AP372">
        <f t="shared" si="54"/>
        <v>0</v>
      </c>
      <c r="AQ372">
        <f t="shared" si="55"/>
        <v>0</v>
      </c>
      <c r="AR372">
        <f t="shared" si="56"/>
        <v>0</v>
      </c>
      <c r="AS372">
        <f t="shared" si="57"/>
        <v>0</v>
      </c>
      <c r="AT372">
        <f t="shared" si="58"/>
        <v>1</v>
      </c>
      <c r="AU372">
        <f t="shared" si="59"/>
        <v>2</v>
      </c>
      <c r="AV372">
        <f t="shared" si="60"/>
        <v>0</v>
      </c>
      <c r="AW372">
        <f t="shared" si="61"/>
        <v>0</v>
      </c>
      <c r="AX372">
        <f t="shared" si="62"/>
        <v>0</v>
      </c>
      <c r="AY372">
        <f t="shared" si="63"/>
        <v>0</v>
      </c>
    </row>
    <row r="373" spans="38:51" x14ac:dyDescent="0.35">
      <c r="AL373" s="19" t="s">
        <v>382</v>
      </c>
      <c r="AM373">
        <f t="shared" si="51"/>
        <v>0</v>
      </c>
      <c r="AN373">
        <f t="shared" si="52"/>
        <v>0</v>
      </c>
      <c r="AO373">
        <f t="shared" si="53"/>
        <v>0</v>
      </c>
      <c r="AP373">
        <f t="shared" si="54"/>
        <v>0</v>
      </c>
      <c r="AQ373">
        <f t="shared" si="55"/>
        <v>0</v>
      </c>
      <c r="AR373">
        <f t="shared" si="56"/>
        <v>0</v>
      </c>
      <c r="AS373">
        <f t="shared" si="57"/>
        <v>0</v>
      </c>
      <c r="AT373">
        <f t="shared" si="58"/>
        <v>0</v>
      </c>
      <c r="AU373">
        <f t="shared" si="59"/>
        <v>0</v>
      </c>
      <c r="AV373">
        <f t="shared" si="60"/>
        <v>0</v>
      </c>
      <c r="AW373">
        <f t="shared" si="61"/>
        <v>0</v>
      </c>
      <c r="AX373">
        <f t="shared" si="62"/>
        <v>0</v>
      </c>
      <c r="AY373">
        <f t="shared" si="63"/>
        <v>0</v>
      </c>
    </row>
    <row r="374" spans="38:51" x14ac:dyDescent="0.35">
      <c r="AL374" s="19" t="s">
        <v>383</v>
      </c>
      <c r="AM374">
        <f t="shared" si="51"/>
        <v>0</v>
      </c>
      <c r="AN374">
        <f t="shared" si="52"/>
        <v>2</v>
      </c>
      <c r="AO374">
        <f t="shared" si="53"/>
        <v>7</v>
      </c>
      <c r="AP374">
        <f t="shared" si="54"/>
        <v>3</v>
      </c>
      <c r="AQ374">
        <f t="shared" si="55"/>
        <v>2</v>
      </c>
      <c r="AR374">
        <f t="shared" si="56"/>
        <v>2</v>
      </c>
      <c r="AS374">
        <f t="shared" si="57"/>
        <v>0</v>
      </c>
      <c r="AT374">
        <f t="shared" si="58"/>
        <v>1</v>
      </c>
      <c r="AU374">
        <f t="shared" si="59"/>
        <v>2</v>
      </c>
      <c r="AV374">
        <f t="shared" si="60"/>
        <v>2</v>
      </c>
      <c r="AW374">
        <f t="shared" si="61"/>
        <v>0</v>
      </c>
      <c r="AX374">
        <f t="shared" si="62"/>
        <v>0</v>
      </c>
      <c r="AY374">
        <f t="shared" si="63"/>
        <v>0</v>
      </c>
    </row>
    <row r="375" spans="38:51" x14ac:dyDescent="0.35">
      <c r="AL375" s="19" t="s">
        <v>384</v>
      </c>
      <c r="AM375">
        <f t="shared" si="51"/>
        <v>0</v>
      </c>
      <c r="AN375">
        <f t="shared" si="52"/>
        <v>0</v>
      </c>
      <c r="AO375">
        <f t="shared" si="53"/>
        <v>0</v>
      </c>
      <c r="AP375">
        <f t="shared" si="54"/>
        <v>0</v>
      </c>
      <c r="AQ375">
        <f t="shared" si="55"/>
        <v>0</v>
      </c>
      <c r="AR375">
        <f t="shared" si="56"/>
        <v>0</v>
      </c>
      <c r="AS375">
        <f t="shared" si="57"/>
        <v>0</v>
      </c>
      <c r="AT375">
        <f t="shared" si="58"/>
        <v>0</v>
      </c>
      <c r="AU375">
        <f t="shared" si="59"/>
        <v>0</v>
      </c>
      <c r="AV375">
        <f t="shared" si="60"/>
        <v>0</v>
      </c>
      <c r="AW375">
        <f t="shared" si="61"/>
        <v>0</v>
      </c>
      <c r="AX375">
        <f t="shared" si="62"/>
        <v>0</v>
      </c>
      <c r="AY375">
        <f t="shared" si="63"/>
        <v>0</v>
      </c>
    </row>
    <row r="376" spans="38:51" x14ac:dyDescent="0.35">
      <c r="AL376" s="19" t="s">
        <v>385</v>
      </c>
      <c r="AM376">
        <f t="shared" si="51"/>
        <v>0</v>
      </c>
      <c r="AN376">
        <f t="shared" si="52"/>
        <v>0</v>
      </c>
      <c r="AO376">
        <f t="shared" si="53"/>
        <v>0</v>
      </c>
      <c r="AP376">
        <f t="shared" si="54"/>
        <v>0</v>
      </c>
      <c r="AQ376">
        <f t="shared" si="55"/>
        <v>0</v>
      </c>
      <c r="AR376">
        <f t="shared" si="56"/>
        <v>0</v>
      </c>
      <c r="AS376">
        <f t="shared" si="57"/>
        <v>0</v>
      </c>
      <c r="AT376">
        <f t="shared" si="58"/>
        <v>0</v>
      </c>
      <c r="AU376">
        <f t="shared" si="59"/>
        <v>0</v>
      </c>
      <c r="AV376">
        <f t="shared" si="60"/>
        <v>0</v>
      </c>
      <c r="AW376">
        <f t="shared" si="61"/>
        <v>0</v>
      </c>
      <c r="AX376">
        <f t="shared" si="62"/>
        <v>0</v>
      </c>
      <c r="AY376">
        <f t="shared" si="63"/>
        <v>0</v>
      </c>
    </row>
    <row r="377" spans="38:51" x14ac:dyDescent="0.35">
      <c r="AL377" s="19" t="s">
        <v>386</v>
      </c>
      <c r="AM377">
        <f t="shared" si="51"/>
        <v>0</v>
      </c>
      <c r="AN377">
        <f t="shared" si="52"/>
        <v>0</v>
      </c>
      <c r="AO377">
        <f t="shared" si="53"/>
        <v>0</v>
      </c>
      <c r="AP377">
        <f t="shared" si="54"/>
        <v>0</v>
      </c>
      <c r="AQ377">
        <f t="shared" si="55"/>
        <v>1</v>
      </c>
      <c r="AR377">
        <f t="shared" si="56"/>
        <v>0</v>
      </c>
      <c r="AS377">
        <f t="shared" si="57"/>
        <v>0</v>
      </c>
      <c r="AT377">
        <f t="shared" si="58"/>
        <v>0</v>
      </c>
      <c r="AU377">
        <f t="shared" si="59"/>
        <v>0</v>
      </c>
      <c r="AV377">
        <f t="shared" si="60"/>
        <v>0</v>
      </c>
      <c r="AW377">
        <f t="shared" si="61"/>
        <v>0</v>
      </c>
      <c r="AX377">
        <f t="shared" si="62"/>
        <v>0</v>
      </c>
      <c r="AY377">
        <f t="shared" si="63"/>
        <v>0</v>
      </c>
    </row>
    <row r="378" spans="38:51" x14ac:dyDescent="0.35">
      <c r="AL378" s="19" t="s">
        <v>387</v>
      </c>
      <c r="AM378">
        <f t="shared" si="51"/>
        <v>0</v>
      </c>
      <c r="AN378">
        <f t="shared" si="52"/>
        <v>0</v>
      </c>
      <c r="AO378">
        <f t="shared" si="53"/>
        <v>0</v>
      </c>
      <c r="AP378">
        <f t="shared" si="54"/>
        <v>0</v>
      </c>
      <c r="AQ378">
        <f t="shared" si="55"/>
        <v>0</v>
      </c>
      <c r="AR378">
        <f t="shared" si="56"/>
        <v>0</v>
      </c>
      <c r="AS378">
        <f t="shared" si="57"/>
        <v>0</v>
      </c>
      <c r="AT378">
        <f t="shared" si="58"/>
        <v>0</v>
      </c>
      <c r="AU378">
        <f t="shared" si="59"/>
        <v>0</v>
      </c>
      <c r="AV378">
        <f t="shared" si="60"/>
        <v>0</v>
      </c>
      <c r="AW378">
        <f t="shared" si="61"/>
        <v>0</v>
      </c>
      <c r="AX378">
        <f t="shared" si="62"/>
        <v>0</v>
      </c>
      <c r="AY378">
        <f t="shared" si="63"/>
        <v>0</v>
      </c>
    </row>
    <row r="379" spans="38:51" x14ac:dyDescent="0.35">
      <c r="AL379" s="19" t="s">
        <v>388</v>
      </c>
      <c r="AM379">
        <f t="shared" si="51"/>
        <v>0</v>
      </c>
      <c r="AN379">
        <f t="shared" si="52"/>
        <v>0</v>
      </c>
      <c r="AO379">
        <f t="shared" si="53"/>
        <v>0</v>
      </c>
      <c r="AP379">
        <f t="shared" si="54"/>
        <v>0</v>
      </c>
      <c r="AQ379">
        <f t="shared" si="55"/>
        <v>0</v>
      </c>
      <c r="AR379">
        <f t="shared" si="56"/>
        <v>0</v>
      </c>
      <c r="AS379">
        <f t="shared" si="57"/>
        <v>0</v>
      </c>
      <c r="AT379">
        <f t="shared" si="58"/>
        <v>0</v>
      </c>
      <c r="AU379">
        <f t="shared" si="59"/>
        <v>0</v>
      </c>
      <c r="AV379">
        <f t="shared" si="60"/>
        <v>0</v>
      </c>
      <c r="AW379">
        <f t="shared" si="61"/>
        <v>0</v>
      </c>
      <c r="AX379">
        <f t="shared" si="62"/>
        <v>0</v>
      </c>
      <c r="AY379">
        <f t="shared" si="63"/>
        <v>0</v>
      </c>
    </row>
    <row r="380" spans="38:51" x14ac:dyDescent="0.35">
      <c r="AL380" s="19" t="s">
        <v>389</v>
      </c>
      <c r="AM380">
        <f t="shared" si="51"/>
        <v>0</v>
      </c>
      <c r="AN380">
        <f t="shared" si="52"/>
        <v>2</v>
      </c>
      <c r="AO380">
        <f t="shared" si="53"/>
        <v>1</v>
      </c>
      <c r="AP380">
        <f t="shared" si="54"/>
        <v>0</v>
      </c>
      <c r="AQ380">
        <f t="shared" si="55"/>
        <v>0</v>
      </c>
      <c r="AR380">
        <f t="shared" si="56"/>
        <v>1</v>
      </c>
      <c r="AS380">
        <f t="shared" si="57"/>
        <v>0</v>
      </c>
      <c r="AT380">
        <f t="shared" si="58"/>
        <v>0</v>
      </c>
      <c r="AU380">
        <f t="shared" si="59"/>
        <v>0</v>
      </c>
      <c r="AV380">
        <f t="shared" si="60"/>
        <v>0</v>
      </c>
      <c r="AW380">
        <f t="shared" si="61"/>
        <v>0</v>
      </c>
      <c r="AX380">
        <f t="shared" si="62"/>
        <v>0</v>
      </c>
      <c r="AY380">
        <f t="shared" si="63"/>
        <v>0</v>
      </c>
    </row>
    <row r="381" spans="38:51" x14ac:dyDescent="0.35">
      <c r="AL381" s="19" t="s">
        <v>390</v>
      </c>
      <c r="AM381">
        <f t="shared" si="51"/>
        <v>5</v>
      </c>
      <c r="AN381">
        <f t="shared" si="52"/>
        <v>5</v>
      </c>
      <c r="AO381">
        <f t="shared" si="53"/>
        <v>4</v>
      </c>
      <c r="AP381">
        <f t="shared" si="54"/>
        <v>0</v>
      </c>
      <c r="AQ381">
        <f t="shared" si="55"/>
        <v>1</v>
      </c>
      <c r="AR381">
        <f t="shared" si="56"/>
        <v>1</v>
      </c>
      <c r="AS381">
        <f t="shared" si="57"/>
        <v>2</v>
      </c>
      <c r="AT381">
        <f t="shared" si="58"/>
        <v>1</v>
      </c>
      <c r="AU381">
        <f t="shared" si="59"/>
        <v>6</v>
      </c>
      <c r="AV381">
        <f t="shared" si="60"/>
        <v>3</v>
      </c>
      <c r="AW381">
        <f t="shared" si="61"/>
        <v>2</v>
      </c>
      <c r="AX381">
        <f t="shared" si="62"/>
        <v>2</v>
      </c>
      <c r="AY381">
        <f t="shared" si="63"/>
        <v>0</v>
      </c>
    </row>
    <row r="382" spans="38:51" x14ac:dyDescent="0.35">
      <c r="AL382" s="19" t="s">
        <v>391</v>
      </c>
      <c r="AM382">
        <f t="shared" si="51"/>
        <v>0</v>
      </c>
      <c r="AN382">
        <f t="shared" si="52"/>
        <v>0</v>
      </c>
      <c r="AO382">
        <f t="shared" si="53"/>
        <v>0</v>
      </c>
      <c r="AP382">
        <f t="shared" si="54"/>
        <v>0</v>
      </c>
      <c r="AQ382">
        <f t="shared" si="55"/>
        <v>0</v>
      </c>
      <c r="AR382">
        <f t="shared" si="56"/>
        <v>1</v>
      </c>
      <c r="AS382">
        <f t="shared" si="57"/>
        <v>0</v>
      </c>
      <c r="AT382">
        <f t="shared" si="58"/>
        <v>0</v>
      </c>
      <c r="AU382">
        <f t="shared" si="59"/>
        <v>0</v>
      </c>
      <c r="AV382">
        <f t="shared" si="60"/>
        <v>0</v>
      </c>
      <c r="AW382">
        <f t="shared" si="61"/>
        <v>0</v>
      </c>
      <c r="AX382">
        <f t="shared" si="62"/>
        <v>0</v>
      </c>
      <c r="AY382">
        <f t="shared" si="63"/>
        <v>0</v>
      </c>
    </row>
    <row r="383" spans="38:51" x14ac:dyDescent="0.35">
      <c r="AL383" s="19" t="s">
        <v>392</v>
      </c>
      <c r="AM383">
        <f t="shared" si="51"/>
        <v>0</v>
      </c>
      <c r="AN383">
        <f t="shared" si="52"/>
        <v>1</v>
      </c>
      <c r="AO383">
        <f t="shared" si="53"/>
        <v>0</v>
      </c>
      <c r="AP383">
        <f t="shared" si="54"/>
        <v>0</v>
      </c>
      <c r="AQ383">
        <f t="shared" si="55"/>
        <v>0</v>
      </c>
      <c r="AR383">
        <f t="shared" si="56"/>
        <v>0</v>
      </c>
      <c r="AS383">
        <f t="shared" si="57"/>
        <v>1</v>
      </c>
      <c r="AT383">
        <f t="shared" si="58"/>
        <v>1</v>
      </c>
      <c r="AU383">
        <f t="shared" si="59"/>
        <v>0</v>
      </c>
      <c r="AV383">
        <f t="shared" si="60"/>
        <v>0</v>
      </c>
      <c r="AW383">
        <f t="shared" si="61"/>
        <v>1</v>
      </c>
      <c r="AX383">
        <f t="shared" si="62"/>
        <v>0</v>
      </c>
      <c r="AY383">
        <f t="shared" si="63"/>
        <v>0</v>
      </c>
    </row>
    <row r="384" spans="38:51" x14ac:dyDescent="0.35">
      <c r="AL384" s="19" t="s">
        <v>393</v>
      </c>
      <c r="AM384">
        <f t="shared" si="51"/>
        <v>0</v>
      </c>
      <c r="AN384">
        <f t="shared" si="52"/>
        <v>0</v>
      </c>
      <c r="AO384">
        <f t="shared" si="53"/>
        <v>0</v>
      </c>
      <c r="AP384">
        <f t="shared" si="54"/>
        <v>0</v>
      </c>
      <c r="AQ384">
        <f t="shared" si="55"/>
        <v>0</v>
      </c>
      <c r="AR384">
        <f t="shared" si="56"/>
        <v>0</v>
      </c>
      <c r="AS384">
        <f t="shared" si="57"/>
        <v>0</v>
      </c>
      <c r="AT384">
        <f t="shared" si="58"/>
        <v>0</v>
      </c>
      <c r="AU384">
        <f t="shared" si="59"/>
        <v>0</v>
      </c>
      <c r="AV384">
        <f t="shared" si="60"/>
        <v>0</v>
      </c>
      <c r="AW384">
        <f t="shared" si="61"/>
        <v>0</v>
      </c>
      <c r="AX384">
        <f t="shared" si="62"/>
        <v>0</v>
      </c>
      <c r="AY384">
        <f t="shared" si="63"/>
        <v>0</v>
      </c>
    </row>
    <row r="385" spans="38:51" x14ac:dyDescent="0.35">
      <c r="AL385" s="19" t="s">
        <v>394</v>
      </c>
      <c r="AM385">
        <f t="shared" si="51"/>
        <v>4</v>
      </c>
      <c r="AN385">
        <f t="shared" si="52"/>
        <v>7</v>
      </c>
      <c r="AO385">
        <f t="shared" si="53"/>
        <v>4</v>
      </c>
      <c r="AP385">
        <f t="shared" si="54"/>
        <v>1</v>
      </c>
      <c r="AQ385">
        <f t="shared" si="55"/>
        <v>3</v>
      </c>
      <c r="AR385">
        <f t="shared" si="56"/>
        <v>6</v>
      </c>
      <c r="AS385">
        <f t="shared" si="57"/>
        <v>4</v>
      </c>
      <c r="AT385">
        <f t="shared" si="58"/>
        <v>4</v>
      </c>
      <c r="AU385">
        <f t="shared" si="59"/>
        <v>1</v>
      </c>
      <c r="AV385">
        <f t="shared" si="60"/>
        <v>0</v>
      </c>
      <c r="AW385">
        <f t="shared" si="61"/>
        <v>0</v>
      </c>
      <c r="AX385">
        <f t="shared" si="62"/>
        <v>0</v>
      </c>
      <c r="AY385">
        <f t="shared" si="63"/>
        <v>0</v>
      </c>
    </row>
    <row r="386" spans="38:51" x14ac:dyDescent="0.35">
      <c r="AL386" s="19" t="s">
        <v>395</v>
      </c>
      <c r="AM386">
        <f t="shared" si="51"/>
        <v>0</v>
      </c>
      <c r="AN386">
        <f t="shared" si="52"/>
        <v>0</v>
      </c>
      <c r="AO386">
        <f t="shared" si="53"/>
        <v>0</v>
      </c>
      <c r="AP386">
        <f t="shared" si="54"/>
        <v>0</v>
      </c>
      <c r="AQ386">
        <f t="shared" si="55"/>
        <v>0</v>
      </c>
      <c r="AR386">
        <f t="shared" si="56"/>
        <v>0</v>
      </c>
      <c r="AS386">
        <f t="shared" si="57"/>
        <v>0</v>
      </c>
      <c r="AT386">
        <f t="shared" si="58"/>
        <v>0</v>
      </c>
      <c r="AU386">
        <f t="shared" si="59"/>
        <v>0</v>
      </c>
      <c r="AV386">
        <f t="shared" si="60"/>
        <v>0</v>
      </c>
      <c r="AW386">
        <f t="shared" si="61"/>
        <v>0</v>
      </c>
      <c r="AX386">
        <f t="shared" si="62"/>
        <v>0</v>
      </c>
      <c r="AY386">
        <f t="shared" si="63"/>
        <v>0</v>
      </c>
    </row>
    <row r="387" spans="38:51" x14ac:dyDescent="0.35">
      <c r="AL387" s="19" t="s">
        <v>396</v>
      </c>
      <c r="AM387">
        <f t="shared" si="51"/>
        <v>0</v>
      </c>
      <c r="AN387">
        <f t="shared" si="52"/>
        <v>0</v>
      </c>
      <c r="AO387">
        <f t="shared" si="53"/>
        <v>0</v>
      </c>
      <c r="AP387">
        <f t="shared" si="54"/>
        <v>0</v>
      </c>
      <c r="AQ387">
        <f t="shared" si="55"/>
        <v>0</v>
      </c>
      <c r="AR387">
        <f t="shared" si="56"/>
        <v>1</v>
      </c>
      <c r="AS387">
        <f t="shared" si="57"/>
        <v>0</v>
      </c>
      <c r="AT387">
        <f t="shared" si="58"/>
        <v>1</v>
      </c>
      <c r="AU387">
        <f t="shared" si="59"/>
        <v>2</v>
      </c>
      <c r="AV387">
        <f t="shared" si="60"/>
        <v>2</v>
      </c>
      <c r="AW387">
        <f t="shared" si="61"/>
        <v>0</v>
      </c>
      <c r="AX387">
        <f t="shared" si="62"/>
        <v>0</v>
      </c>
      <c r="AY387">
        <f t="shared" si="63"/>
        <v>0</v>
      </c>
    </row>
    <row r="388" spans="38:51" x14ac:dyDescent="0.35">
      <c r="AL388" s="19" t="s">
        <v>397</v>
      </c>
      <c r="AM388">
        <f t="shared" si="51"/>
        <v>1</v>
      </c>
      <c r="AN388">
        <f t="shared" si="52"/>
        <v>3</v>
      </c>
      <c r="AO388">
        <f t="shared" si="53"/>
        <v>3</v>
      </c>
      <c r="AP388">
        <f t="shared" si="54"/>
        <v>1</v>
      </c>
      <c r="AQ388">
        <f t="shared" si="55"/>
        <v>1</v>
      </c>
      <c r="AR388">
        <f t="shared" si="56"/>
        <v>0</v>
      </c>
      <c r="AS388">
        <f t="shared" si="57"/>
        <v>0</v>
      </c>
      <c r="AT388">
        <f t="shared" si="58"/>
        <v>1</v>
      </c>
      <c r="AU388">
        <f t="shared" si="59"/>
        <v>2</v>
      </c>
      <c r="AV388">
        <f t="shared" si="60"/>
        <v>1</v>
      </c>
      <c r="AW388">
        <f t="shared" si="61"/>
        <v>0</v>
      </c>
      <c r="AX388">
        <f t="shared" si="62"/>
        <v>1</v>
      </c>
      <c r="AY388">
        <f t="shared" si="63"/>
        <v>2</v>
      </c>
    </row>
    <row r="389" spans="38:51" x14ac:dyDescent="0.35">
      <c r="AL389" s="19" t="s">
        <v>398</v>
      </c>
      <c r="AM389">
        <f t="shared" si="51"/>
        <v>0</v>
      </c>
      <c r="AN389">
        <f t="shared" si="52"/>
        <v>0</v>
      </c>
      <c r="AO389">
        <f t="shared" si="53"/>
        <v>0</v>
      </c>
      <c r="AP389">
        <f t="shared" si="54"/>
        <v>0</v>
      </c>
      <c r="AQ389">
        <f t="shared" si="55"/>
        <v>0</v>
      </c>
      <c r="AR389">
        <f t="shared" si="56"/>
        <v>0</v>
      </c>
      <c r="AS389">
        <f t="shared" si="57"/>
        <v>0</v>
      </c>
      <c r="AT389">
        <f t="shared" si="58"/>
        <v>0</v>
      </c>
      <c r="AU389">
        <f t="shared" si="59"/>
        <v>0</v>
      </c>
      <c r="AV389">
        <f t="shared" si="60"/>
        <v>0</v>
      </c>
      <c r="AW389">
        <f t="shared" si="61"/>
        <v>0</v>
      </c>
      <c r="AX389">
        <f t="shared" si="62"/>
        <v>0</v>
      </c>
      <c r="AY389">
        <f t="shared" si="63"/>
        <v>0</v>
      </c>
    </row>
    <row r="390" spans="38:51" x14ac:dyDescent="0.35">
      <c r="AL390" s="19" t="s">
        <v>399</v>
      </c>
      <c r="AM390">
        <f t="shared" si="51"/>
        <v>0</v>
      </c>
      <c r="AN390">
        <f t="shared" si="52"/>
        <v>0</v>
      </c>
      <c r="AO390">
        <f t="shared" si="53"/>
        <v>0</v>
      </c>
      <c r="AP390">
        <f t="shared" si="54"/>
        <v>2</v>
      </c>
      <c r="AQ390">
        <f t="shared" si="55"/>
        <v>0</v>
      </c>
      <c r="AR390">
        <f t="shared" si="56"/>
        <v>1</v>
      </c>
      <c r="AS390">
        <f t="shared" si="57"/>
        <v>0</v>
      </c>
      <c r="AT390">
        <f t="shared" si="58"/>
        <v>1</v>
      </c>
      <c r="AU390">
        <f t="shared" si="59"/>
        <v>2</v>
      </c>
      <c r="AV390">
        <f t="shared" si="60"/>
        <v>1</v>
      </c>
      <c r="AW390">
        <f t="shared" si="61"/>
        <v>0</v>
      </c>
      <c r="AX390">
        <f t="shared" si="62"/>
        <v>0</v>
      </c>
      <c r="AY390">
        <f t="shared" si="63"/>
        <v>1</v>
      </c>
    </row>
    <row r="391" spans="38:51" x14ac:dyDescent="0.35">
      <c r="AL391" s="19" t="s">
        <v>400</v>
      </c>
      <c r="AM391">
        <f t="shared" si="51"/>
        <v>0</v>
      </c>
      <c r="AN391">
        <f t="shared" si="52"/>
        <v>2</v>
      </c>
      <c r="AO391">
        <f t="shared" si="53"/>
        <v>0</v>
      </c>
      <c r="AP391">
        <f t="shared" si="54"/>
        <v>0</v>
      </c>
      <c r="AQ391">
        <f t="shared" si="55"/>
        <v>0</v>
      </c>
      <c r="AR391">
        <f t="shared" si="56"/>
        <v>0</v>
      </c>
      <c r="AS391">
        <f t="shared" si="57"/>
        <v>0</v>
      </c>
      <c r="AT391">
        <f t="shared" si="58"/>
        <v>0</v>
      </c>
      <c r="AU391">
        <f t="shared" si="59"/>
        <v>0</v>
      </c>
      <c r="AV391">
        <f t="shared" si="60"/>
        <v>0</v>
      </c>
      <c r="AW391">
        <f t="shared" si="61"/>
        <v>0</v>
      </c>
      <c r="AX391">
        <f t="shared" si="62"/>
        <v>0</v>
      </c>
      <c r="AY391">
        <f t="shared" si="63"/>
        <v>0</v>
      </c>
    </row>
    <row r="392" spans="38:51" x14ac:dyDescent="0.35">
      <c r="AL392" s="19" t="s">
        <v>401</v>
      </c>
      <c r="AM392">
        <f t="shared" si="51"/>
        <v>1</v>
      </c>
      <c r="AN392">
        <f t="shared" si="52"/>
        <v>0</v>
      </c>
      <c r="AO392">
        <f t="shared" si="53"/>
        <v>2</v>
      </c>
      <c r="AP392">
        <f t="shared" si="54"/>
        <v>0</v>
      </c>
      <c r="AQ392">
        <f t="shared" si="55"/>
        <v>2</v>
      </c>
      <c r="AR392">
        <f t="shared" si="56"/>
        <v>3</v>
      </c>
      <c r="AS392">
        <f t="shared" si="57"/>
        <v>2</v>
      </c>
      <c r="AT392">
        <f t="shared" si="58"/>
        <v>2</v>
      </c>
      <c r="AU392">
        <f t="shared" si="59"/>
        <v>3</v>
      </c>
      <c r="AV392">
        <f t="shared" si="60"/>
        <v>0</v>
      </c>
      <c r="AW392">
        <f t="shared" si="61"/>
        <v>0</v>
      </c>
      <c r="AX392">
        <f t="shared" si="62"/>
        <v>0</v>
      </c>
      <c r="AY392">
        <f t="shared" si="63"/>
        <v>0</v>
      </c>
    </row>
    <row r="393" spans="38:51" x14ac:dyDescent="0.35">
      <c r="AL393" s="19" t="s">
        <v>402</v>
      </c>
      <c r="AM393">
        <f t="shared" si="51"/>
        <v>0</v>
      </c>
      <c r="AN393">
        <f t="shared" si="52"/>
        <v>0</v>
      </c>
      <c r="AO393">
        <f t="shared" si="53"/>
        <v>0</v>
      </c>
      <c r="AP393">
        <f t="shared" si="54"/>
        <v>0</v>
      </c>
      <c r="AQ393">
        <f t="shared" si="55"/>
        <v>0</v>
      </c>
      <c r="AR393">
        <f t="shared" si="56"/>
        <v>0</v>
      </c>
      <c r="AS393">
        <f t="shared" si="57"/>
        <v>0</v>
      </c>
      <c r="AT393">
        <f t="shared" si="58"/>
        <v>0</v>
      </c>
      <c r="AU393">
        <f t="shared" si="59"/>
        <v>0</v>
      </c>
      <c r="AV393">
        <f t="shared" si="60"/>
        <v>0</v>
      </c>
      <c r="AW393">
        <f t="shared" si="61"/>
        <v>0</v>
      </c>
      <c r="AX393">
        <f t="shared" si="62"/>
        <v>0</v>
      </c>
      <c r="AY393">
        <f t="shared" si="63"/>
        <v>0</v>
      </c>
    </row>
    <row r="394" spans="38:51" x14ac:dyDescent="0.35">
      <c r="AL394" s="19" t="s">
        <v>403</v>
      </c>
      <c r="AM394">
        <f t="shared" si="51"/>
        <v>0</v>
      </c>
      <c r="AN394">
        <f t="shared" si="52"/>
        <v>0</v>
      </c>
      <c r="AO394">
        <f t="shared" si="53"/>
        <v>0</v>
      </c>
      <c r="AP394">
        <f t="shared" si="54"/>
        <v>0</v>
      </c>
      <c r="AQ394">
        <f t="shared" si="55"/>
        <v>0</v>
      </c>
      <c r="AR394">
        <f t="shared" si="56"/>
        <v>0</v>
      </c>
      <c r="AS394">
        <f t="shared" si="57"/>
        <v>1</v>
      </c>
      <c r="AT394">
        <f t="shared" si="58"/>
        <v>0</v>
      </c>
      <c r="AU394">
        <f t="shared" si="59"/>
        <v>0</v>
      </c>
      <c r="AV394">
        <f t="shared" si="60"/>
        <v>0</v>
      </c>
      <c r="AW394">
        <f t="shared" si="61"/>
        <v>0</v>
      </c>
      <c r="AX394">
        <f t="shared" si="62"/>
        <v>0</v>
      </c>
      <c r="AY394">
        <f t="shared" si="63"/>
        <v>0</v>
      </c>
    </row>
    <row r="395" spans="38:51" x14ac:dyDescent="0.35">
      <c r="AL395" s="19" t="s">
        <v>404</v>
      </c>
      <c r="AM395">
        <f t="shared" si="51"/>
        <v>0</v>
      </c>
      <c r="AN395">
        <f t="shared" si="52"/>
        <v>0</v>
      </c>
      <c r="AO395">
        <f t="shared" si="53"/>
        <v>0</v>
      </c>
      <c r="AP395">
        <f t="shared" si="54"/>
        <v>0</v>
      </c>
      <c r="AQ395">
        <f t="shared" si="55"/>
        <v>0</v>
      </c>
      <c r="AR395">
        <f t="shared" si="56"/>
        <v>0</v>
      </c>
      <c r="AS395">
        <f t="shared" si="57"/>
        <v>0</v>
      </c>
      <c r="AT395">
        <f t="shared" si="58"/>
        <v>0</v>
      </c>
      <c r="AU395">
        <f t="shared" si="59"/>
        <v>0</v>
      </c>
      <c r="AV395">
        <f t="shared" si="60"/>
        <v>0</v>
      </c>
      <c r="AW395">
        <f t="shared" si="61"/>
        <v>0</v>
      </c>
      <c r="AX395">
        <f t="shared" si="62"/>
        <v>0</v>
      </c>
      <c r="AY395">
        <f t="shared" si="63"/>
        <v>0</v>
      </c>
    </row>
    <row r="396" spans="38:51" x14ac:dyDescent="0.35">
      <c r="AL396" s="19" t="s">
        <v>405</v>
      </c>
      <c r="AM396">
        <f t="shared" si="51"/>
        <v>2</v>
      </c>
      <c r="AN396">
        <f t="shared" si="52"/>
        <v>3</v>
      </c>
      <c r="AO396">
        <f t="shared" si="53"/>
        <v>5</v>
      </c>
      <c r="AP396">
        <f t="shared" si="54"/>
        <v>0</v>
      </c>
      <c r="AQ396">
        <f t="shared" si="55"/>
        <v>0</v>
      </c>
      <c r="AR396">
        <f t="shared" si="56"/>
        <v>0</v>
      </c>
      <c r="AS396">
        <f t="shared" si="57"/>
        <v>2</v>
      </c>
      <c r="AT396">
        <f t="shared" si="58"/>
        <v>2</v>
      </c>
      <c r="AU396">
        <f t="shared" si="59"/>
        <v>1</v>
      </c>
      <c r="AV396">
        <f t="shared" si="60"/>
        <v>4</v>
      </c>
      <c r="AW396">
        <f t="shared" si="61"/>
        <v>4</v>
      </c>
      <c r="AX396">
        <f t="shared" si="62"/>
        <v>6</v>
      </c>
      <c r="AY396">
        <f t="shared" si="63"/>
        <v>6</v>
      </c>
    </row>
    <row r="397" spans="38:51" x14ac:dyDescent="0.35">
      <c r="AL397" s="19" t="s">
        <v>406</v>
      </c>
      <c r="AM397">
        <f t="shared" si="51"/>
        <v>0</v>
      </c>
      <c r="AN397">
        <f t="shared" si="52"/>
        <v>0</v>
      </c>
      <c r="AO397">
        <f t="shared" si="53"/>
        <v>0</v>
      </c>
      <c r="AP397">
        <f t="shared" si="54"/>
        <v>0</v>
      </c>
      <c r="AQ397">
        <f t="shared" si="55"/>
        <v>0</v>
      </c>
      <c r="AR397">
        <f t="shared" si="56"/>
        <v>0</v>
      </c>
      <c r="AS397">
        <f t="shared" si="57"/>
        <v>0</v>
      </c>
      <c r="AT397">
        <f t="shared" si="58"/>
        <v>0</v>
      </c>
      <c r="AU397">
        <f t="shared" si="59"/>
        <v>0</v>
      </c>
      <c r="AV397">
        <f t="shared" si="60"/>
        <v>0</v>
      </c>
      <c r="AW397">
        <f t="shared" si="61"/>
        <v>0</v>
      </c>
      <c r="AX397">
        <f t="shared" si="62"/>
        <v>0</v>
      </c>
      <c r="AY397">
        <f t="shared" si="63"/>
        <v>0</v>
      </c>
    </row>
    <row r="398" spans="38:51" x14ac:dyDescent="0.35">
      <c r="AL398" s="19" t="s">
        <v>407</v>
      </c>
      <c r="AM398">
        <f t="shared" si="51"/>
        <v>0</v>
      </c>
      <c r="AN398">
        <f t="shared" si="52"/>
        <v>0</v>
      </c>
      <c r="AO398">
        <f t="shared" si="53"/>
        <v>0</v>
      </c>
      <c r="AP398">
        <f t="shared" si="54"/>
        <v>0</v>
      </c>
      <c r="AQ398">
        <f t="shared" si="55"/>
        <v>0</v>
      </c>
      <c r="AR398">
        <f t="shared" si="56"/>
        <v>0</v>
      </c>
      <c r="AS398">
        <f t="shared" si="57"/>
        <v>0</v>
      </c>
      <c r="AT398">
        <f t="shared" si="58"/>
        <v>0</v>
      </c>
      <c r="AU398">
        <f t="shared" si="59"/>
        <v>0</v>
      </c>
      <c r="AV398">
        <f t="shared" si="60"/>
        <v>0</v>
      </c>
      <c r="AW398">
        <f t="shared" si="61"/>
        <v>0</v>
      </c>
      <c r="AX398">
        <f t="shared" si="62"/>
        <v>0</v>
      </c>
      <c r="AY398">
        <f t="shared" si="63"/>
        <v>0</v>
      </c>
    </row>
    <row r="399" spans="38:51" x14ac:dyDescent="0.35">
      <c r="AL399" s="19" t="s">
        <v>408</v>
      </c>
      <c r="AM399">
        <f t="shared" si="51"/>
        <v>0</v>
      </c>
      <c r="AN399">
        <f t="shared" si="52"/>
        <v>0</v>
      </c>
      <c r="AO399">
        <f t="shared" si="53"/>
        <v>0</v>
      </c>
      <c r="AP399">
        <f t="shared" si="54"/>
        <v>0</v>
      </c>
      <c r="AQ399">
        <f t="shared" si="55"/>
        <v>0</v>
      </c>
      <c r="AR399">
        <f t="shared" si="56"/>
        <v>0</v>
      </c>
      <c r="AS399">
        <f t="shared" si="57"/>
        <v>0</v>
      </c>
      <c r="AT399">
        <f t="shared" si="58"/>
        <v>0</v>
      </c>
      <c r="AU399">
        <f t="shared" si="59"/>
        <v>0</v>
      </c>
      <c r="AV399">
        <f t="shared" si="60"/>
        <v>0</v>
      </c>
      <c r="AW399">
        <f t="shared" si="61"/>
        <v>0</v>
      </c>
      <c r="AX399">
        <f t="shared" si="62"/>
        <v>0</v>
      </c>
      <c r="AY399">
        <f t="shared" si="63"/>
        <v>0</v>
      </c>
    </row>
    <row r="400" spans="38:51" x14ac:dyDescent="0.35">
      <c r="AL400" s="19" t="s">
        <v>409</v>
      </c>
      <c r="AM400">
        <f t="shared" si="51"/>
        <v>0</v>
      </c>
      <c r="AN400">
        <f t="shared" si="52"/>
        <v>3</v>
      </c>
      <c r="AO400">
        <f t="shared" si="53"/>
        <v>4</v>
      </c>
      <c r="AP400">
        <f t="shared" si="54"/>
        <v>0</v>
      </c>
      <c r="AQ400">
        <f t="shared" si="55"/>
        <v>0</v>
      </c>
      <c r="AR400">
        <f t="shared" si="56"/>
        <v>2</v>
      </c>
      <c r="AS400">
        <f t="shared" si="57"/>
        <v>2</v>
      </c>
      <c r="AT400">
        <f t="shared" si="58"/>
        <v>1</v>
      </c>
      <c r="AU400">
        <f t="shared" si="59"/>
        <v>2</v>
      </c>
      <c r="AV400">
        <f t="shared" si="60"/>
        <v>0</v>
      </c>
      <c r="AW400">
        <f t="shared" si="61"/>
        <v>0</v>
      </c>
      <c r="AX400">
        <f t="shared" si="62"/>
        <v>1</v>
      </c>
      <c r="AY400">
        <f t="shared" si="63"/>
        <v>6</v>
      </c>
    </row>
    <row r="401" spans="38:51" x14ac:dyDescent="0.35">
      <c r="AL401" s="19" t="s">
        <v>410</v>
      </c>
      <c r="AM401">
        <f t="shared" si="51"/>
        <v>0</v>
      </c>
      <c r="AN401">
        <f t="shared" si="52"/>
        <v>0</v>
      </c>
      <c r="AO401">
        <f t="shared" si="53"/>
        <v>0</v>
      </c>
      <c r="AP401">
        <f t="shared" si="54"/>
        <v>0</v>
      </c>
      <c r="AQ401">
        <f t="shared" si="55"/>
        <v>0</v>
      </c>
      <c r="AR401">
        <f t="shared" si="56"/>
        <v>0</v>
      </c>
      <c r="AS401">
        <f t="shared" si="57"/>
        <v>0</v>
      </c>
      <c r="AT401">
        <f t="shared" si="58"/>
        <v>0</v>
      </c>
      <c r="AU401">
        <f t="shared" si="59"/>
        <v>0</v>
      </c>
      <c r="AV401">
        <f t="shared" si="60"/>
        <v>0</v>
      </c>
      <c r="AW401">
        <f t="shared" si="61"/>
        <v>0</v>
      </c>
      <c r="AX401">
        <f t="shared" si="62"/>
        <v>0</v>
      </c>
      <c r="AY401">
        <f t="shared" si="63"/>
        <v>0</v>
      </c>
    </row>
    <row r="402" spans="38:51" x14ac:dyDescent="0.35">
      <c r="AL402" s="19" t="s">
        <v>411</v>
      </c>
      <c r="AM402">
        <f t="shared" si="51"/>
        <v>0</v>
      </c>
      <c r="AN402">
        <f t="shared" si="52"/>
        <v>0</v>
      </c>
      <c r="AO402">
        <f t="shared" si="53"/>
        <v>0</v>
      </c>
      <c r="AP402">
        <f t="shared" si="54"/>
        <v>0</v>
      </c>
      <c r="AQ402">
        <f t="shared" si="55"/>
        <v>0</v>
      </c>
      <c r="AR402">
        <f t="shared" si="56"/>
        <v>0</v>
      </c>
      <c r="AS402">
        <f t="shared" si="57"/>
        <v>0</v>
      </c>
      <c r="AT402">
        <f t="shared" si="58"/>
        <v>0</v>
      </c>
      <c r="AU402">
        <f t="shared" si="59"/>
        <v>0</v>
      </c>
      <c r="AV402">
        <f t="shared" si="60"/>
        <v>0</v>
      </c>
      <c r="AW402">
        <f t="shared" si="61"/>
        <v>0</v>
      </c>
      <c r="AX402">
        <f t="shared" si="62"/>
        <v>0</v>
      </c>
      <c r="AY402">
        <f t="shared" si="63"/>
        <v>0</v>
      </c>
    </row>
    <row r="403" spans="38:51" x14ac:dyDescent="0.35">
      <c r="AL403" s="19" t="s">
        <v>412</v>
      </c>
      <c r="AM403">
        <f t="shared" si="51"/>
        <v>0</v>
      </c>
      <c r="AN403">
        <f t="shared" si="52"/>
        <v>0</v>
      </c>
      <c r="AO403">
        <f t="shared" si="53"/>
        <v>0</v>
      </c>
      <c r="AP403">
        <f t="shared" si="54"/>
        <v>0</v>
      </c>
      <c r="AQ403">
        <f t="shared" si="55"/>
        <v>0</v>
      </c>
      <c r="AR403">
        <f t="shared" si="56"/>
        <v>0</v>
      </c>
      <c r="AS403">
        <f t="shared" si="57"/>
        <v>0</v>
      </c>
      <c r="AT403">
        <f t="shared" si="58"/>
        <v>0</v>
      </c>
      <c r="AU403">
        <f t="shared" si="59"/>
        <v>0</v>
      </c>
      <c r="AV403">
        <f t="shared" si="60"/>
        <v>0</v>
      </c>
      <c r="AW403">
        <f t="shared" si="61"/>
        <v>0</v>
      </c>
      <c r="AX403">
        <f t="shared" si="62"/>
        <v>0</v>
      </c>
      <c r="AY403">
        <f t="shared" si="63"/>
        <v>0</v>
      </c>
    </row>
    <row r="404" spans="38:51" x14ac:dyDescent="0.35">
      <c r="AL404" s="19" t="s">
        <v>413</v>
      </c>
      <c r="AM404">
        <f t="shared" si="51"/>
        <v>0</v>
      </c>
      <c r="AN404">
        <f t="shared" si="52"/>
        <v>0</v>
      </c>
      <c r="AO404">
        <f t="shared" si="53"/>
        <v>0</v>
      </c>
      <c r="AP404">
        <f t="shared" si="54"/>
        <v>0</v>
      </c>
      <c r="AQ404">
        <f t="shared" si="55"/>
        <v>0</v>
      </c>
      <c r="AR404">
        <f t="shared" si="56"/>
        <v>0</v>
      </c>
      <c r="AS404">
        <f t="shared" si="57"/>
        <v>0</v>
      </c>
      <c r="AT404">
        <f t="shared" si="58"/>
        <v>0</v>
      </c>
      <c r="AU404">
        <f t="shared" si="59"/>
        <v>0</v>
      </c>
      <c r="AV404">
        <f t="shared" si="60"/>
        <v>0</v>
      </c>
      <c r="AW404">
        <f t="shared" si="61"/>
        <v>0</v>
      </c>
      <c r="AX404">
        <f t="shared" si="62"/>
        <v>0</v>
      </c>
      <c r="AY404">
        <f t="shared" si="63"/>
        <v>0</v>
      </c>
    </row>
    <row r="405" spans="38:51" x14ac:dyDescent="0.35">
      <c r="AL405" s="19" t="s">
        <v>414</v>
      </c>
      <c r="AM405">
        <f t="shared" si="51"/>
        <v>0</v>
      </c>
      <c r="AN405">
        <f t="shared" si="52"/>
        <v>0</v>
      </c>
      <c r="AO405">
        <f t="shared" si="53"/>
        <v>0</v>
      </c>
      <c r="AP405">
        <f t="shared" si="54"/>
        <v>0</v>
      </c>
      <c r="AQ405">
        <f t="shared" si="55"/>
        <v>0</v>
      </c>
      <c r="AR405">
        <f t="shared" si="56"/>
        <v>0</v>
      </c>
      <c r="AS405">
        <f t="shared" si="57"/>
        <v>0</v>
      </c>
      <c r="AT405">
        <f t="shared" si="58"/>
        <v>0</v>
      </c>
      <c r="AU405">
        <f t="shared" si="59"/>
        <v>0</v>
      </c>
      <c r="AV405">
        <f t="shared" si="60"/>
        <v>0</v>
      </c>
      <c r="AW405">
        <f t="shared" si="61"/>
        <v>0</v>
      </c>
      <c r="AX405">
        <f t="shared" si="62"/>
        <v>0</v>
      </c>
      <c r="AY405">
        <f t="shared" si="63"/>
        <v>0</v>
      </c>
    </row>
    <row r="406" spans="38:51" x14ac:dyDescent="0.35">
      <c r="AL406" s="19" t="s">
        <v>415</v>
      </c>
      <c r="AM406">
        <f t="shared" si="51"/>
        <v>0</v>
      </c>
      <c r="AN406">
        <f t="shared" si="52"/>
        <v>0</v>
      </c>
      <c r="AO406">
        <f t="shared" si="53"/>
        <v>0</v>
      </c>
      <c r="AP406">
        <f t="shared" si="54"/>
        <v>0</v>
      </c>
      <c r="AQ406">
        <f t="shared" si="55"/>
        <v>0</v>
      </c>
      <c r="AR406">
        <f t="shared" si="56"/>
        <v>0</v>
      </c>
      <c r="AS406">
        <f t="shared" si="57"/>
        <v>0</v>
      </c>
      <c r="AT406">
        <f t="shared" si="58"/>
        <v>0</v>
      </c>
      <c r="AU406">
        <f t="shared" si="59"/>
        <v>0</v>
      </c>
      <c r="AV406">
        <f t="shared" si="60"/>
        <v>0</v>
      </c>
      <c r="AW406">
        <f t="shared" si="61"/>
        <v>0</v>
      </c>
      <c r="AX406">
        <f t="shared" si="62"/>
        <v>0</v>
      </c>
      <c r="AY406">
        <f t="shared" si="63"/>
        <v>0</v>
      </c>
    </row>
    <row r="407" spans="38:51" x14ac:dyDescent="0.35">
      <c r="AL407" s="19" t="s">
        <v>416</v>
      </c>
      <c r="AM407">
        <f t="shared" si="51"/>
        <v>0</v>
      </c>
      <c r="AN407">
        <f t="shared" si="52"/>
        <v>0</v>
      </c>
      <c r="AO407">
        <f t="shared" si="53"/>
        <v>0</v>
      </c>
      <c r="AP407">
        <f t="shared" si="54"/>
        <v>0</v>
      </c>
      <c r="AQ407">
        <f t="shared" si="55"/>
        <v>0</v>
      </c>
      <c r="AR407">
        <f t="shared" si="56"/>
        <v>0</v>
      </c>
      <c r="AS407">
        <f t="shared" si="57"/>
        <v>0</v>
      </c>
      <c r="AT407">
        <f t="shared" si="58"/>
        <v>0</v>
      </c>
      <c r="AU407">
        <f t="shared" si="59"/>
        <v>0</v>
      </c>
      <c r="AV407">
        <f t="shared" si="60"/>
        <v>0</v>
      </c>
      <c r="AW407">
        <f t="shared" si="61"/>
        <v>0</v>
      </c>
      <c r="AX407">
        <f t="shared" si="62"/>
        <v>0</v>
      </c>
      <c r="AY407">
        <f t="shared" si="63"/>
        <v>0</v>
      </c>
    </row>
    <row r="408" spans="38:51" x14ac:dyDescent="0.35">
      <c r="AL408" s="19" t="s">
        <v>417</v>
      </c>
      <c r="AM408">
        <f t="shared" si="51"/>
        <v>0</v>
      </c>
      <c r="AN408">
        <f t="shared" si="52"/>
        <v>0</v>
      </c>
      <c r="AO408">
        <f t="shared" si="53"/>
        <v>0</v>
      </c>
      <c r="AP408">
        <f t="shared" si="54"/>
        <v>0</v>
      </c>
      <c r="AQ408">
        <f t="shared" si="55"/>
        <v>0</v>
      </c>
      <c r="AR408">
        <f t="shared" si="56"/>
        <v>0</v>
      </c>
      <c r="AS408">
        <f t="shared" si="57"/>
        <v>0</v>
      </c>
      <c r="AT408">
        <f t="shared" si="58"/>
        <v>0</v>
      </c>
      <c r="AU408">
        <f t="shared" si="59"/>
        <v>1</v>
      </c>
      <c r="AV408">
        <f t="shared" si="60"/>
        <v>0</v>
      </c>
      <c r="AW408">
        <f t="shared" si="61"/>
        <v>0</v>
      </c>
      <c r="AX408">
        <f t="shared" si="62"/>
        <v>0</v>
      </c>
      <c r="AY408">
        <f t="shared" si="63"/>
        <v>0</v>
      </c>
    </row>
    <row r="409" spans="38:51" x14ac:dyDescent="0.35">
      <c r="AL409" s="19" t="s">
        <v>418</v>
      </c>
      <c r="AM409">
        <f t="shared" si="51"/>
        <v>0</v>
      </c>
      <c r="AN409">
        <f t="shared" si="52"/>
        <v>0</v>
      </c>
      <c r="AO409">
        <f t="shared" si="53"/>
        <v>0</v>
      </c>
      <c r="AP409">
        <f t="shared" si="54"/>
        <v>0</v>
      </c>
      <c r="AQ409">
        <f t="shared" si="55"/>
        <v>0</v>
      </c>
      <c r="AR409">
        <f t="shared" si="56"/>
        <v>0</v>
      </c>
      <c r="AS409">
        <f t="shared" si="57"/>
        <v>0</v>
      </c>
      <c r="AT409">
        <f t="shared" si="58"/>
        <v>0</v>
      </c>
      <c r="AU409">
        <f t="shared" si="59"/>
        <v>0</v>
      </c>
      <c r="AV409">
        <f t="shared" si="60"/>
        <v>0</v>
      </c>
      <c r="AW409">
        <f t="shared" si="61"/>
        <v>0</v>
      </c>
      <c r="AX409">
        <f t="shared" si="62"/>
        <v>0</v>
      </c>
      <c r="AY409">
        <f t="shared" si="63"/>
        <v>0</v>
      </c>
    </row>
    <row r="410" spans="38:51" x14ac:dyDescent="0.35">
      <c r="AL410" s="19" t="s">
        <v>419</v>
      </c>
      <c r="AM410">
        <f>COUNTIF($AM126:$AS126,"&gt;=95%")</f>
        <v>0</v>
      </c>
      <c r="AN410">
        <f>COUNTIF($AU126:$BA126,"&gt;=95%")</f>
        <v>0</v>
      </c>
      <c r="AO410">
        <f t="shared" si="53"/>
        <v>0</v>
      </c>
      <c r="AP410">
        <f t="shared" si="54"/>
        <v>0</v>
      </c>
      <c r="AQ410">
        <f t="shared" si="55"/>
        <v>0</v>
      </c>
      <c r="AR410">
        <f t="shared" si="56"/>
        <v>0</v>
      </c>
      <c r="AS410">
        <f t="shared" si="57"/>
        <v>0</v>
      </c>
      <c r="AT410">
        <f t="shared" si="58"/>
        <v>0</v>
      </c>
      <c r="AU410">
        <f t="shared" si="59"/>
        <v>0</v>
      </c>
      <c r="AV410">
        <f t="shared" si="60"/>
        <v>0</v>
      </c>
      <c r="AW410">
        <f t="shared" si="61"/>
        <v>0</v>
      </c>
      <c r="AX410">
        <f t="shared" si="62"/>
        <v>0</v>
      </c>
      <c r="AY410">
        <f t="shared" si="63"/>
        <v>0</v>
      </c>
    </row>
    <row r="411" spans="38:51" x14ac:dyDescent="0.35">
      <c r="AL411" s="19" t="s">
        <v>420</v>
      </c>
      <c r="AM411">
        <f>COUNTIF($AM127:$AS127,"&gt;=95%")</f>
        <v>0</v>
      </c>
      <c r="AN411">
        <f t="shared" si="52"/>
        <v>0</v>
      </c>
      <c r="AO411">
        <f t="shared" si="53"/>
        <v>0</v>
      </c>
      <c r="AP411">
        <f t="shared" si="54"/>
        <v>0</v>
      </c>
      <c r="AQ411">
        <f t="shared" si="55"/>
        <v>0</v>
      </c>
      <c r="AR411">
        <f t="shared" si="56"/>
        <v>0</v>
      </c>
      <c r="AS411">
        <f t="shared" si="57"/>
        <v>0</v>
      </c>
      <c r="AT411">
        <f t="shared" si="58"/>
        <v>0</v>
      </c>
      <c r="AU411">
        <f t="shared" si="59"/>
        <v>0</v>
      </c>
      <c r="AV411">
        <f t="shared" si="60"/>
        <v>0</v>
      </c>
      <c r="AW411">
        <f t="shared" si="61"/>
        <v>0</v>
      </c>
      <c r="AX411">
        <f t="shared" si="62"/>
        <v>0</v>
      </c>
      <c r="AY411">
        <f t="shared" si="63"/>
        <v>0</v>
      </c>
    </row>
    <row r="412" spans="38:51" x14ac:dyDescent="0.35">
      <c r="AL412" s="19" t="s">
        <v>421</v>
      </c>
      <c r="AM412">
        <f>COUNTIF($AM128:$AS128,"&gt;=95%")</f>
        <v>6</v>
      </c>
      <c r="AN412">
        <f>COUNTIF($AU128:$BA128,"&gt;=95%")</f>
        <v>7</v>
      </c>
      <c r="AO412">
        <f t="shared" si="53"/>
        <v>6</v>
      </c>
      <c r="AP412">
        <f t="shared" si="54"/>
        <v>5</v>
      </c>
      <c r="AQ412">
        <f t="shared" si="55"/>
        <v>6</v>
      </c>
      <c r="AR412">
        <f t="shared" si="56"/>
        <v>7</v>
      </c>
      <c r="AS412">
        <f t="shared" si="57"/>
        <v>3</v>
      </c>
      <c r="AT412">
        <f t="shared" si="58"/>
        <v>4</v>
      </c>
      <c r="AU412">
        <f t="shared" si="59"/>
        <v>5</v>
      </c>
      <c r="AV412">
        <f t="shared" si="60"/>
        <v>3</v>
      </c>
      <c r="AW412">
        <f t="shared" si="61"/>
        <v>1</v>
      </c>
      <c r="AX412">
        <f t="shared" si="62"/>
        <v>1</v>
      </c>
      <c r="AY412">
        <f t="shared" si="63"/>
        <v>3</v>
      </c>
    </row>
    <row r="413" spans="38:51" x14ac:dyDescent="0.35">
      <c r="AL413" s="19" t="s">
        <v>422</v>
      </c>
      <c r="AM413">
        <f t="shared" si="51"/>
        <v>1</v>
      </c>
      <c r="AN413">
        <f>COUNTIF($AU129:$BA129,"&gt;=95%")</f>
        <v>0</v>
      </c>
      <c r="AO413">
        <f t="shared" si="53"/>
        <v>1</v>
      </c>
      <c r="AP413">
        <f t="shared" si="54"/>
        <v>0</v>
      </c>
      <c r="AQ413">
        <f t="shared" si="55"/>
        <v>1</v>
      </c>
      <c r="AR413">
        <f t="shared" si="56"/>
        <v>0</v>
      </c>
      <c r="AS413">
        <f t="shared" si="57"/>
        <v>0</v>
      </c>
      <c r="AT413">
        <f t="shared" si="58"/>
        <v>1</v>
      </c>
      <c r="AU413">
        <f t="shared" si="59"/>
        <v>0</v>
      </c>
      <c r="AV413">
        <f t="shared" si="60"/>
        <v>0</v>
      </c>
      <c r="AW413">
        <f t="shared" si="61"/>
        <v>0</v>
      </c>
      <c r="AX413">
        <f t="shared" si="62"/>
        <v>0</v>
      </c>
      <c r="AY413">
        <f t="shared" si="63"/>
        <v>0</v>
      </c>
    </row>
    <row r="414" spans="38:51" x14ac:dyDescent="0.35">
      <c r="AL414" s="19" t="s">
        <v>423</v>
      </c>
      <c r="AM414">
        <f t="shared" si="51"/>
        <v>0</v>
      </c>
      <c r="AN414">
        <f>COUNTIF($AU130:$BA130,"&gt;=95%")</f>
        <v>0</v>
      </c>
      <c r="AO414">
        <f t="shared" si="53"/>
        <v>0</v>
      </c>
      <c r="AP414">
        <f t="shared" si="54"/>
        <v>0</v>
      </c>
      <c r="AQ414">
        <f t="shared" si="55"/>
        <v>0</v>
      </c>
      <c r="AR414">
        <f t="shared" si="56"/>
        <v>0</v>
      </c>
      <c r="AS414">
        <f t="shared" si="57"/>
        <v>0</v>
      </c>
      <c r="AT414">
        <f t="shared" si="58"/>
        <v>0</v>
      </c>
      <c r="AU414">
        <f t="shared" si="59"/>
        <v>0</v>
      </c>
      <c r="AV414">
        <f t="shared" si="60"/>
        <v>0</v>
      </c>
      <c r="AW414">
        <f t="shared" si="61"/>
        <v>0</v>
      </c>
      <c r="AX414">
        <f t="shared" si="62"/>
        <v>0</v>
      </c>
      <c r="AY414">
        <f t="shared" si="63"/>
        <v>0</v>
      </c>
    </row>
    <row r="415" spans="38:51" x14ac:dyDescent="0.35">
      <c r="AL415" s="19" t="s">
        <v>424</v>
      </c>
      <c r="AM415">
        <f t="shared" si="51"/>
        <v>7</v>
      </c>
      <c r="AN415">
        <f>COUNTIF($AU131:$BA131,"&gt;=95%")</f>
        <v>7</v>
      </c>
      <c r="AO415">
        <f t="shared" si="53"/>
        <v>6</v>
      </c>
      <c r="AP415">
        <f t="shared" si="54"/>
        <v>5</v>
      </c>
      <c r="AQ415">
        <f t="shared" si="55"/>
        <v>6</v>
      </c>
      <c r="AR415">
        <f t="shared" si="56"/>
        <v>7</v>
      </c>
      <c r="AS415">
        <f t="shared" si="57"/>
        <v>6</v>
      </c>
      <c r="AT415">
        <f t="shared" si="58"/>
        <v>6</v>
      </c>
      <c r="AU415">
        <f t="shared" si="59"/>
        <v>0</v>
      </c>
      <c r="AV415">
        <f t="shared" si="60"/>
        <v>5</v>
      </c>
      <c r="AW415">
        <f t="shared" si="61"/>
        <v>2</v>
      </c>
      <c r="AX415">
        <f t="shared" si="62"/>
        <v>2</v>
      </c>
      <c r="AY415">
        <f t="shared" si="63"/>
        <v>3</v>
      </c>
    </row>
    <row r="416" spans="38:51" x14ac:dyDescent="0.35">
      <c r="AL416" s="19" t="s">
        <v>425</v>
      </c>
      <c r="AM416">
        <f t="shared" si="51"/>
        <v>0</v>
      </c>
      <c r="AN416">
        <f t="shared" si="52"/>
        <v>0</v>
      </c>
      <c r="AO416">
        <f t="shared" si="53"/>
        <v>0</v>
      </c>
      <c r="AP416">
        <f t="shared" si="54"/>
        <v>0</v>
      </c>
      <c r="AQ416">
        <f t="shared" si="55"/>
        <v>0</v>
      </c>
      <c r="AR416">
        <f t="shared" si="56"/>
        <v>0</v>
      </c>
      <c r="AS416">
        <f t="shared" si="57"/>
        <v>1</v>
      </c>
      <c r="AT416">
        <f t="shared" si="58"/>
        <v>0</v>
      </c>
      <c r="AU416">
        <f t="shared" si="59"/>
        <v>0</v>
      </c>
      <c r="AV416">
        <f t="shared" si="60"/>
        <v>0</v>
      </c>
      <c r="AW416">
        <f t="shared" si="61"/>
        <v>0</v>
      </c>
      <c r="AX416">
        <f t="shared" si="62"/>
        <v>0</v>
      </c>
      <c r="AY416">
        <f t="shared" si="63"/>
        <v>0</v>
      </c>
    </row>
    <row r="417" spans="38:52" x14ac:dyDescent="0.35">
      <c r="AL417" s="19" t="s">
        <v>426</v>
      </c>
      <c r="AM417">
        <f t="shared" si="51"/>
        <v>0</v>
      </c>
      <c r="AN417">
        <f t="shared" si="52"/>
        <v>1</v>
      </c>
      <c r="AO417">
        <f t="shared" si="53"/>
        <v>0</v>
      </c>
      <c r="AP417">
        <f t="shared" si="54"/>
        <v>0</v>
      </c>
      <c r="AQ417">
        <f t="shared" si="55"/>
        <v>0</v>
      </c>
      <c r="AR417">
        <f t="shared" si="56"/>
        <v>0</v>
      </c>
      <c r="AS417">
        <f t="shared" si="57"/>
        <v>0</v>
      </c>
      <c r="AT417">
        <f t="shared" si="58"/>
        <v>0</v>
      </c>
      <c r="AU417">
        <f t="shared" si="59"/>
        <v>0</v>
      </c>
      <c r="AV417">
        <f t="shared" si="60"/>
        <v>0</v>
      </c>
      <c r="AW417">
        <f t="shared" si="61"/>
        <v>0</v>
      </c>
      <c r="AX417">
        <f t="shared" si="62"/>
        <v>0</v>
      </c>
      <c r="AY417">
        <f t="shared" si="63"/>
        <v>0</v>
      </c>
    </row>
    <row r="418" spans="38:52" x14ac:dyDescent="0.35">
      <c r="AL418" s="19" t="s">
        <v>427</v>
      </c>
      <c r="AM418">
        <f>COUNTIF($AM134:$AS134,"&gt;=95%")</f>
        <v>0</v>
      </c>
      <c r="AN418">
        <f t="shared" si="52"/>
        <v>0</v>
      </c>
      <c r="AO418">
        <f t="shared" si="53"/>
        <v>0</v>
      </c>
      <c r="AP418">
        <f t="shared" si="54"/>
        <v>0</v>
      </c>
      <c r="AQ418">
        <f t="shared" si="55"/>
        <v>0</v>
      </c>
      <c r="AR418">
        <f t="shared" si="56"/>
        <v>0</v>
      </c>
      <c r="AS418">
        <f t="shared" si="57"/>
        <v>0</v>
      </c>
      <c r="AT418">
        <f t="shared" si="58"/>
        <v>0</v>
      </c>
      <c r="AU418">
        <f t="shared" si="59"/>
        <v>0</v>
      </c>
      <c r="AV418">
        <f t="shared" si="60"/>
        <v>0</v>
      </c>
      <c r="AW418">
        <f t="shared" si="61"/>
        <v>0</v>
      </c>
      <c r="AX418">
        <f t="shared" si="62"/>
        <v>0</v>
      </c>
      <c r="AY418">
        <f t="shared" si="63"/>
        <v>0</v>
      </c>
    </row>
    <row r="419" spans="38:52" x14ac:dyDescent="0.35">
      <c r="AL419" s="19"/>
    </row>
    <row r="420" spans="38:52" x14ac:dyDescent="0.35">
      <c r="AL420" s="19"/>
    </row>
    <row r="421" spans="38:52" x14ac:dyDescent="0.35">
      <c r="AL421" s="19"/>
    </row>
    <row r="422" spans="38:52" x14ac:dyDescent="0.35">
      <c r="AL422" s="19"/>
    </row>
    <row r="423" spans="38:52" x14ac:dyDescent="0.35">
      <c r="AL423" s="19"/>
    </row>
    <row r="424" spans="38:52" x14ac:dyDescent="0.35">
      <c r="AL424" s="19"/>
    </row>
    <row r="425" spans="38:52" x14ac:dyDescent="0.35">
      <c r="AL425" s="19"/>
    </row>
    <row r="426" spans="38:52" x14ac:dyDescent="0.35">
      <c r="AL426" s="19"/>
    </row>
    <row r="427" spans="38:52" x14ac:dyDescent="0.35">
      <c r="AL427" s="19"/>
    </row>
    <row r="428" spans="38:52" x14ac:dyDescent="0.35">
      <c r="AL428" s="19"/>
      <c r="AN428" s="117"/>
    </row>
    <row r="431" spans="38:52" x14ac:dyDescent="0.35">
      <c r="AL431" s="32">
        <v>1</v>
      </c>
      <c r="AM431" s="27" t="s">
        <v>43</v>
      </c>
      <c r="AN431" s="27" t="s">
        <v>44</v>
      </c>
      <c r="AO431" s="27" t="s">
        <v>45</v>
      </c>
      <c r="AP431" s="27" t="s">
        <v>46</v>
      </c>
      <c r="AQ431" s="27" t="s">
        <v>47</v>
      </c>
      <c r="AR431" s="27" t="s">
        <v>48</v>
      </c>
      <c r="AS431" s="27" t="s">
        <v>49</v>
      </c>
      <c r="AT431" s="27" t="s">
        <v>50</v>
      </c>
      <c r="AU431" s="27" t="s">
        <v>51</v>
      </c>
      <c r="AV431" s="27" t="s">
        <v>52</v>
      </c>
      <c r="AW431" s="27" t="s">
        <v>53</v>
      </c>
      <c r="AX431" s="27" t="s">
        <v>54</v>
      </c>
      <c r="AY431" s="27" t="s">
        <v>55</v>
      </c>
      <c r="AZ431" s="27"/>
    </row>
    <row r="432" spans="38:52" x14ac:dyDescent="0.35">
      <c r="AL432" s="32" t="s">
        <v>36</v>
      </c>
      <c r="AM432" s="27">
        <f t="shared" ref="AM432:AS432" si="64">IF((COUNTIF(AM433:AM566,"&gt;0"))=0, "0", (COUNTIF(AM433:AM566,"&gt;0")))</f>
        <v>1</v>
      </c>
      <c r="AN432" s="27">
        <f t="shared" si="64"/>
        <v>3</v>
      </c>
      <c r="AO432" s="27">
        <f t="shared" si="64"/>
        <v>2</v>
      </c>
      <c r="AP432" s="27">
        <f t="shared" si="64"/>
        <v>2</v>
      </c>
      <c r="AQ432" s="27">
        <f t="shared" si="64"/>
        <v>2</v>
      </c>
      <c r="AR432" s="27">
        <f t="shared" si="64"/>
        <v>1</v>
      </c>
      <c r="AS432" s="27">
        <f t="shared" si="64"/>
        <v>2</v>
      </c>
      <c r="AT432" s="27" t="str">
        <f>IF((COUNTIF(AT433:AT566,"&gt;0"))=0, "0", (COUNTIF(AT433:AT566,"&gt;0")))</f>
        <v>0</v>
      </c>
      <c r="AU432" s="27" t="str">
        <f t="shared" ref="AU432:AY432" si="65">IF((COUNTIF(AU433:AU566,"&gt;0"))=0, "0", (COUNTIF(AU433:AU566,"&gt;0")))</f>
        <v>0</v>
      </c>
      <c r="AV432" s="27">
        <f t="shared" si="65"/>
        <v>1</v>
      </c>
      <c r="AW432" s="27" t="str">
        <f t="shared" si="65"/>
        <v>0</v>
      </c>
      <c r="AX432" s="27" t="str">
        <f t="shared" si="65"/>
        <v>0</v>
      </c>
      <c r="AY432" s="27" t="str">
        <f t="shared" si="65"/>
        <v>0</v>
      </c>
      <c r="AZ432" s="27" t="str">
        <f t="shared" ref="AZ432" si="66">IF(COUNTIF(AZ433:AZ566,"&gt;0")=0,"",COUNTIF(AZ433:AZ566,"&gt;0"))</f>
        <v/>
      </c>
    </row>
    <row r="433" spans="38:51" x14ac:dyDescent="0.35">
      <c r="AL433" s="19" t="s">
        <v>301</v>
      </c>
      <c r="AM433">
        <f>COUNTIF($AM8:$AS8,"&gt;=100%")</f>
        <v>0</v>
      </c>
      <c r="AN433">
        <f>COUNTIF($AU8:$BA8,"&gt;=100%")</f>
        <v>0</v>
      </c>
      <c r="AO433">
        <f>COUNTIF($BC8:$BI8,"&gt;=100%")</f>
        <v>0</v>
      </c>
      <c r="AP433">
        <f>COUNTIF($BK8:$BQ8,"&gt;=100%")</f>
        <v>0</v>
      </c>
      <c r="AQ433">
        <f>COUNTIF($BS8:$BY8,"&gt;=100%")</f>
        <v>0</v>
      </c>
      <c r="AR433">
        <f>COUNTIF($CA8:$CG8,"&gt;=100%")</f>
        <v>0</v>
      </c>
      <c r="AS433">
        <f>COUNTIF($CI8:$CO8,"&gt;=100%")</f>
        <v>0</v>
      </c>
      <c r="AT433">
        <f>COUNTIF($CQ8:$CW8,"&gt;=100%")</f>
        <v>0</v>
      </c>
      <c r="AU433">
        <f>COUNTIF($CY8:$DE8,"&gt;=100%")</f>
        <v>0</v>
      </c>
      <c r="AV433">
        <f>COUNTIF($DG8:$DM8,"&gt;=100%")</f>
        <v>0</v>
      </c>
      <c r="AW433">
        <f>COUNTIF($DO8:$DU8,"&gt;=100%")</f>
        <v>0</v>
      </c>
      <c r="AX433">
        <f>COUNTIF($DW8:$EC8,"&gt;=100%")</f>
        <v>0</v>
      </c>
      <c r="AY433">
        <f>COUNTIF($EE8:$EK8,"&gt;=100%")</f>
        <v>0</v>
      </c>
    </row>
    <row r="434" spans="38:51" x14ac:dyDescent="0.35">
      <c r="AL434" s="19" t="s">
        <v>302</v>
      </c>
      <c r="AM434">
        <f t="shared" ref="AM434:AM497" si="67">COUNTIF($AM9:$AS9,"&gt;=100%")</f>
        <v>0</v>
      </c>
      <c r="AN434">
        <f t="shared" ref="AN434:AN497" si="68">COUNTIF($AU9:$BA9,"&gt;=100%")</f>
        <v>0</v>
      </c>
      <c r="AO434">
        <f t="shared" ref="AO434:AO497" si="69">COUNTIF($BC9:$BI9,"&gt;=100%")</f>
        <v>0</v>
      </c>
      <c r="AP434">
        <f t="shared" ref="AP434:AP497" si="70">COUNTIF($BK9:$BQ9,"&gt;=100%")</f>
        <v>0</v>
      </c>
      <c r="AQ434">
        <f t="shared" ref="AQ434:AQ497" si="71">COUNTIF($BS9:$BY9,"&gt;=100%")</f>
        <v>0</v>
      </c>
      <c r="AR434">
        <f t="shared" ref="AR434:AR497" si="72">COUNTIF($CA9:$CG9,"&gt;=100%")</f>
        <v>0</v>
      </c>
      <c r="AS434">
        <f t="shared" ref="AS434:AS497" si="73">COUNTIF($CI9:$CO9,"&gt;=100%")</f>
        <v>0</v>
      </c>
      <c r="AT434">
        <f t="shared" ref="AT434:AT497" si="74">COUNTIF($CQ9:$CW9,"&gt;=100%")</f>
        <v>0</v>
      </c>
      <c r="AU434">
        <f t="shared" ref="AU434:AU497" si="75">COUNTIF($CY9:$DE9,"&gt;=100%")</f>
        <v>0</v>
      </c>
      <c r="AV434">
        <f t="shared" ref="AV434:AV497" si="76">COUNTIF($DG9:$DM9,"&gt;=100%")</f>
        <v>0</v>
      </c>
      <c r="AW434">
        <f t="shared" ref="AW434:AW497" si="77">COUNTIF($DO9:$DU9,"&gt;=100%")</f>
        <v>0</v>
      </c>
      <c r="AX434">
        <f t="shared" ref="AX434:AX497" si="78">COUNTIF($DW9:$EC9,"&gt;=100%")</f>
        <v>0</v>
      </c>
      <c r="AY434">
        <f t="shared" ref="AY434:AY497" si="79">COUNTIF($EE9:$EK9,"&gt;=100%")</f>
        <v>0</v>
      </c>
    </row>
    <row r="435" spans="38:51" x14ac:dyDescent="0.35">
      <c r="AL435" s="19" t="s">
        <v>303</v>
      </c>
      <c r="AM435">
        <f t="shared" si="67"/>
        <v>0</v>
      </c>
      <c r="AN435">
        <f t="shared" si="68"/>
        <v>0</v>
      </c>
      <c r="AO435">
        <f t="shared" si="69"/>
        <v>0</v>
      </c>
      <c r="AP435">
        <f t="shared" si="70"/>
        <v>0</v>
      </c>
      <c r="AQ435">
        <f t="shared" si="71"/>
        <v>0</v>
      </c>
      <c r="AR435">
        <f t="shared" si="72"/>
        <v>0</v>
      </c>
      <c r="AS435">
        <f t="shared" si="73"/>
        <v>0</v>
      </c>
      <c r="AT435">
        <f t="shared" si="74"/>
        <v>0</v>
      </c>
      <c r="AU435">
        <f t="shared" si="75"/>
        <v>0</v>
      </c>
      <c r="AV435">
        <f t="shared" si="76"/>
        <v>0</v>
      </c>
      <c r="AW435">
        <f t="shared" si="77"/>
        <v>0</v>
      </c>
      <c r="AX435">
        <f t="shared" si="78"/>
        <v>0</v>
      </c>
      <c r="AY435">
        <f t="shared" si="79"/>
        <v>0</v>
      </c>
    </row>
    <row r="436" spans="38:51" x14ac:dyDescent="0.35">
      <c r="AL436" s="19" t="s">
        <v>304</v>
      </c>
      <c r="AM436">
        <f t="shared" si="67"/>
        <v>0</v>
      </c>
      <c r="AN436">
        <f t="shared" si="68"/>
        <v>0</v>
      </c>
      <c r="AO436">
        <f t="shared" si="69"/>
        <v>0</v>
      </c>
      <c r="AP436">
        <f t="shared" si="70"/>
        <v>0</v>
      </c>
      <c r="AQ436">
        <f t="shared" si="71"/>
        <v>0</v>
      </c>
      <c r="AR436">
        <f t="shared" si="72"/>
        <v>0</v>
      </c>
      <c r="AS436">
        <f t="shared" si="73"/>
        <v>0</v>
      </c>
      <c r="AT436">
        <f t="shared" si="74"/>
        <v>0</v>
      </c>
      <c r="AU436">
        <f t="shared" si="75"/>
        <v>0</v>
      </c>
      <c r="AV436">
        <f t="shared" si="76"/>
        <v>0</v>
      </c>
      <c r="AW436">
        <f t="shared" si="77"/>
        <v>0</v>
      </c>
      <c r="AX436">
        <f t="shared" si="78"/>
        <v>0</v>
      </c>
      <c r="AY436">
        <f t="shared" si="79"/>
        <v>0</v>
      </c>
    </row>
    <row r="437" spans="38:51" x14ac:dyDescent="0.35">
      <c r="AL437" s="19" t="s">
        <v>305</v>
      </c>
      <c r="AM437">
        <f t="shared" si="67"/>
        <v>0</v>
      </c>
      <c r="AN437">
        <f t="shared" si="68"/>
        <v>0</v>
      </c>
      <c r="AO437">
        <f t="shared" si="69"/>
        <v>0</v>
      </c>
      <c r="AP437">
        <f t="shared" si="70"/>
        <v>0</v>
      </c>
      <c r="AQ437">
        <f t="shared" si="71"/>
        <v>0</v>
      </c>
      <c r="AR437">
        <f t="shared" si="72"/>
        <v>0</v>
      </c>
      <c r="AS437">
        <f t="shared" si="73"/>
        <v>0</v>
      </c>
      <c r="AT437">
        <f t="shared" si="74"/>
        <v>0</v>
      </c>
      <c r="AU437">
        <f t="shared" si="75"/>
        <v>0</v>
      </c>
      <c r="AV437">
        <f t="shared" si="76"/>
        <v>0</v>
      </c>
      <c r="AW437">
        <f t="shared" si="77"/>
        <v>0</v>
      </c>
      <c r="AX437">
        <f t="shared" si="78"/>
        <v>0</v>
      </c>
      <c r="AY437">
        <f t="shared" si="79"/>
        <v>0</v>
      </c>
    </row>
    <row r="438" spans="38:51" x14ac:dyDescent="0.35">
      <c r="AL438" s="19" t="s">
        <v>306</v>
      </c>
      <c r="AM438">
        <f t="shared" si="67"/>
        <v>0</v>
      </c>
      <c r="AN438">
        <f t="shared" si="68"/>
        <v>0</v>
      </c>
      <c r="AO438">
        <f t="shared" si="69"/>
        <v>0</v>
      </c>
      <c r="AP438">
        <f t="shared" si="70"/>
        <v>0</v>
      </c>
      <c r="AQ438">
        <f t="shared" si="71"/>
        <v>0</v>
      </c>
      <c r="AR438">
        <f t="shared" si="72"/>
        <v>0</v>
      </c>
      <c r="AS438">
        <f t="shared" si="73"/>
        <v>0</v>
      </c>
      <c r="AT438">
        <f t="shared" si="74"/>
        <v>0</v>
      </c>
      <c r="AU438">
        <f t="shared" si="75"/>
        <v>0</v>
      </c>
      <c r="AV438">
        <f t="shared" si="76"/>
        <v>0</v>
      </c>
      <c r="AW438">
        <f t="shared" si="77"/>
        <v>0</v>
      </c>
      <c r="AX438">
        <f t="shared" si="78"/>
        <v>0</v>
      </c>
      <c r="AY438">
        <f t="shared" si="79"/>
        <v>0</v>
      </c>
    </row>
    <row r="439" spans="38:51" x14ac:dyDescent="0.35">
      <c r="AL439" s="19" t="s">
        <v>307</v>
      </c>
      <c r="AM439">
        <f t="shared" si="67"/>
        <v>0</v>
      </c>
      <c r="AN439">
        <f t="shared" si="68"/>
        <v>0</v>
      </c>
      <c r="AO439">
        <f t="shared" si="69"/>
        <v>0</v>
      </c>
      <c r="AP439">
        <f t="shared" si="70"/>
        <v>0</v>
      </c>
      <c r="AQ439">
        <f t="shared" si="71"/>
        <v>0</v>
      </c>
      <c r="AR439">
        <f t="shared" si="72"/>
        <v>0</v>
      </c>
      <c r="AS439">
        <f t="shared" si="73"/>
        <v>0</v>
      </c>
      <c r="AT439">
        <f t="shared" si="74"/>
        <v>0</v>
      </c>
      <c r="AU439">
        <f t="shared" si="75"/>
        <v>0</v>
      </c>
      <c r="AV439">
        <f t="shared" si="76"/>
        <v>0</v>
      </c>
      <c r="AW439">
        <f t="shared" si="77"/>
        <v>0</v>
      </c>
      <c r="AX439">
        <f t="shared" si="78"/>
        <v>0</v>
      </c>
      <c r="AY439">
        <f t="shared" si="79"/>
        <v>0</v>
      </c>
    </row>
    <row r="440" spans="38:51" x14ac:dyDescent="0.35">
      <c r="AL440" s="19" t="s">
        <v>308</v>
      </c>
      <c r="AM440">
        <f t="shared" si="67"/>
        <v>0</v>
      </c>
      <c r="AN440">
        <f t="shared" si="68"/>
        <v>0</v>
      </c>
      <c r="AO440">
        <f t="shared" si="69"/>
        <v>0</v>
      </c>
      <c r="AP440">
        <f t="shared" si="70"/>
        <v>0</v>
      </c>
      <c r="AQ440">
        <f t="shared" si="71"/>
        <v>0</v>
      </c>
      <c r="AR440">
        <f t="shared" si="72"/>
        <v>0</v>
      </c>
      <c r="AS440">
        <f t="shared" si="73"/>
        <v>0</v>
      </c>
      <c r="AT440">
        <f t="shared" si="74"/>
        <v>0</v>
      </c>
      <c r="AU440">
        <f t="shared" si="75"/>
        <v>0</v>
      </c>
      <c r="AV440">
        <f t="shared" si="76"/>
        <v>0</v>
      </c>
      <c r="AW440">
        <f t="shared" si="77"/>
        <v>0</v>
      </c>
      <c r="AX440">
        <f t="shared" si="78"/>
        <v>0</v>
      </c>
      <c r="AY440">
        <f t="shared" si="79"/>
        <v>0</v>
      </c>
    </row>
    <row r="441" spans="38:51" x14ac:dyDescent="0.35">
      <c r="AL441" s="19" t="s">
        <v>309</v>
      </c>
      <c r="AM441">
        <f t="shared" si="67"/>
        <v>0</v>
      </c>
      <c r="AN441">
        <f t="shared" si="68"/>
        <v>0</v>
      </c>
      <c r="AO441">
        <f t="shared" si="69"/>
        <v>0</v>
      </c>
      <c r="AP441">
        <f t="shared" si="70"/>
        <v>0</v>
      </c>
      <c r="AQ441">
        <f t="shared" si="71"/>
        <v>0</v>
      </c>
      <c r="AR441">
        <f t="shared" si="72"/>
        <v>0</v>
      </c>
      <c r="AS441">
        <f t="shared" si="73"/>
        <v>0</v>
      </c>
      <c r="AT441">
        <f t="shared" si="74"/>
        <v>0</v>
      </c>
      <c r="AU441">
        <f t="shared" si="75"/>
        <v>0</v>
      </c>
      <c r="AV441">
        <f t="shared" si="76"/>
        <v>0</v>
      </c>
      <c r="AW441">
        <f t="shared" si="77"/>
        <v>0</v>
      </c>
      <c r="AX441">
        <f t="shared" si="78"/>
        <v>0</v>
      </c>
      <c r="AY441">
        <f t="shared" si="79"/>
        <v>0</v>
      </c>
    </row>
    <row r="442" spans="38:51" x14ac:dyDescent="0.35">
      <c r="AL442" s="19" t="s">
        <v>310</v>
      </c>
      <c r="AM442">
        <f t="shared" si="67"/>
        <v>0</v>
      </c>
      <c r="AN442">
        <f t="shared" si="68"/>
        <v>0</v>
      </c>
      <c r="AO442">
        <f t="shared" si="69"/>
        <v>0</v>
      </c>
      <c r="AP442">
        <f t="shared" si="70"/>
        <v>0</v>
      </c>
      <c r="AQ442">
        <f t="shared" si="71"/>
        <v>0</v>
      </c>
      <c r="AR442">
        <f t="shared" si="72"/>
        <v>0</v>
      </c>
      <c r="AS442">
        <f t="shared" si="73"/>
        <v>0</v>
      </c>
      <c r="AT442">
        <f t="shared" si="74"/>
        <v>0</v>
      </c>
      <c r="AU442">
        <f t="shared" si="75"/>
        <v>0</v>
      </c>
      <c r="AV442">
        <f t="shared" si="76"/>
        <v>0</v>
      </c>
      <c r="AW442">
        <f t="shared" si="77"/>
        <v>0</v>
      </c>
      <c r="AX442">
        <f t="shared" si="78"/>
        <v>0</v>
      </c>
      <c r="AY442">
        <f t="shared" si="79"/>
        <v>0</v>
      </c>
    </row>
    <row r="443" spans="38:51" x14ac:dyDescent="0.35">
      <c r="AL443" s="19" t="s">
        <v>311</v>
      </c>
      <c r="AM443">
        <f t="shared" si="67"/>
        <v>0</v>
      </c>
      <c r="AN443">
        <f t="shared" si="68"/>
        <v>0</v>
      </c>
      <c r="AO443">
        <f t="shared" si="69"/>
        <v>0</v>
      </c>
      <c r="AP443">
        <f t="shared" si="70"/>
        <v>0</v>
      </c>
      <c r="AQ443">
        <f t="shared" si="71"/>
        <v>0</v>
      </c>
      <c r="AR443">
        <f t="shared" si="72"/>
        <v>0</v>
      </c>
      <c r="AS443">
        <f t="shared" si="73"/>
        <v>0</v>
      </c>
      <c r="AT443">
        <f t="shared" si="74"/>
        <v>0</v>
      </c>
      <c r="AU443">
        <f t="shared" si="75"/>
        <v>0</v>
      </c>
      <c r="AV443">
        <f t="shared" si="76"/>
        <v>0</v>
      </c>
      <c r="AW443">
        <f t="shared" si="77"/>
        <v>0</v>
      </c>
      <c r="AX443">
        <f t="shared" si="78"/>
        <v>0</v>
      </c>
      <c r="AY443">
        <f t="shared" si="79"/>
        <v>0</v>
      </c>
    </row>
    <row r="444" spans="38:51" x14ac:dyDescent="0.35">
      <c r="AL444" s="19" t="s">
        <v>312</v>
      </c>
      <c r="AM444">
        <f t="shared" si="67"/>
        <v>0</v>
      </c>
      <c r="AN444">
        <f t="shared" si="68"/>
        <v>0</v>
      </c>
      <c r="AO444">
        <f t="shared" si="69"/>
        <v>0</v>
      </c>
      <c r="AP444">
        <f t="shared" si="70"/>
        <v>0</v>
      </c>
      <c r="AQ444">
        <f t="shared" si="71"/>
        <v>0</v>
      </c>
      <c r="AR444">
        <f t="shared" si="72"/>
        <v>0</v>
      </c>
      <c r="AS444">
        <f t="shared" si="73"/>
        <v>0</v>
      </c>
      <c r="AT444">
        <f t="shared" si="74"/>
        <v>0</v>
      </c>
      <c r="AU444">
        <f t="shared" si="75"/>
        <v>0</v>
      </c>
      <c r="AV444">
        <f t="shared" si="76"/>
        <v>0</v>
      </c>
      <c r="AW444">
        <f t="shared" si="77"/>
        <v>0</v>
      </c>
      <c r="AX444">
        <f t="shared" si="78"/>
        <v>0</v>
      </c>
      <c r="AY444">
        <f t="shared" si="79"/>
        <v>0</v>
      </c>
    </row>
    <row r="445" spans="38:51" x14ac:dyDescent="0.35">
      <c r="AL445" s="19" t="s">
        <v>313</v>
      </c>
      <c r="AM445">
        <f t="shared" si="67"/>
        <v>0</v>
      </c>
      <c r="AN445">
        <f t="shared" si="68"/>
        <v>0</v>
      </c>
      <c r="AO445">
        <f t="shared" si="69"/>
        <v>0</v>
      </c>
      <c r="AP445">
        <f t="shared" si="70"/>
        <v>0</v>
      </c>
      <c r="AQ445">
        <f t="shared" si="71"/>
        <v>0</v>
      </c>
      <c r="AR445">
        <f t="shared" si="72"/>
        <v>0</v>
      </c>
      <c r="AS445">
        <f t="shared" si="73"/>
        <v>0</v>
      </c>
      <c r="AT445">
        <f t="shared" si="74"/>
        <v>0</v>
      </c>
      <c r="AU445">
        <f t="shared" si="75"/>
        <v>0</v>
      </c>
      <c r="AV445">
        <f t="shared" si="76"/>
        <v>0</v>
      </c>
      <c r="AW445">
        <f t="shared" si="77"/>
        <v>0</v>
      </c>
      <c r="AX445">
        <f t="shared" si="78"/>
        <v>0</v>
      </c>
      <c r="AY445">
        <f t="shared" si="79"/>
        <v>0</v>
      </c>
    </row>
    <row r="446" spans="38:51" x14ac:dyDescent="0.35">
      <c r="AL446" s="19" t="s">
        <v>314</v>
      </c>
      <c r="AM446">
        <f t="shared" si="67"/>
        <v>0</v>
      </c>
      <c r="AN446">
        <f t="shared" si="68"/>
        <v>0</v>
      </c>
      <c r="AO446">
        <f t="shared" si="69"/>
        <v>0</v>
      </c>
      <c r="AP446">
        <f t="shared" si="70"/>
        <v>0</v>
      </c>
      <c r="AQ446">
        <f t="shared" si="71"/>
        <v>0</v>
      </c>
      <c r="AR446">
        <f t="shared" si="72"/>
        <v>0</v>
      </c>
      <c r="AS446">
        <f t="shared" si="73"/>
        <v>0</v>
      </c>
      <c r="AT446">
        <f t="shared" si="74"/>
        <v>0</v>
      </c>
      <c r="AU446">
        <f t="shared" si="75"/>
        <v>0</v>
      </c>
      <c r="AV446">
        <f t="shared" si="76"/>
        <v>0</v>
      </c>
      <c r="AW446">
        <f t="shared" si="77"/>
        <v>0</v>
      </c>
      <c r="AX446">
        <f t="shared" si="78"/>
        <v>0</v>
      </c>
      <c r="AY446">
        <f t="shared" si="79"/>
        <v>0</v>
      </c>
    </row>
    <row r="447" spans="38:51" x14ac:dyDescent="0.35">
      <c r="AL447" s="19" t="s">
        <v>315</v>
      </c>
      <c r="AM447">
        <f t="shared" si="67"/>
        <v>0</v>
      </c>
      <c r="AN447">
        <f t="shared" si="68"/>
        <v>0</v>
      </c>
      <c r="AO447">
        <f t="shared" si="69"/>
        <v>0</v>
      </c>
      <c r="AP447">
        <f t="shared" si="70"/>
        <v>0</v>
      </c>
      <c r="AQ447">
        <f t="shared" si="71"/>
        <v>0</v>
      </c>
      <c r="AR447">
        <f t="shared" si="72"/>
        <v>0</v>
      </c>
      <c r="AS447">
        <f t="shared" si="73"/>
        <v>0</v>
      </c>
      <c r="AT447">
        <f t="shared" si="74"/>
        <v>0</v>
      </c>
      <c r="AU447">
        <f t="shared" si="75"/>
        <v>0</v>
      </c>
      <c r="AV447">
        <f t="shared" si="76"/>
        <v>0</v>
      </c>
      <c r="AW447">
        <f t="shared" si="77"/>
        <v>0</v>
      </c>
      <c r="AX447">
        <f t="shared" si="78"/>
        <v>0</v>
      </c>
      <c r="AY447">
        <f t="shared" si="79"/>
        <v>0</v>
      </c>
    </row>
    <row r="448" spans="38:51" x14ac:dyDescent="0.35">
      <c r="AL448" s="19" t="s">
        <v>316</v>
      </c>
      <c r="AM448">
        <f t="shared" si="67"/>
        <v>0</v>
      </c>
      <c r="AN448">
        <f t="shared" si="68"/>
        <v>0</v>
      </c>
      <c r="AO448">
        <f t="shared" si="69"/>
        <v>0</v>
      </c>
      <c r="AP448">
        <f t="shared" si="70"/>
        <v>0</v>
      </c>
      <c r="AQ448">
        <f t="shared" si="71"/>
        <v>0</v>
      </c>
      <c r="AR448">
        <f t="shared" si="72"/>
        <v>0</v>
      </c>
      <c r="AS448">
        <f t="shared" si="73"/>
        <v>0</v>
      </c>
      <c r="AT448">
        <f t="shared" si="74"/>
        <v>0</v>
      </c>
      <c r="AU448">
        <f t="shared" si="75"/>
        <v>0</v>
      </c>
      <c r="AV448">
        <f t="shared" si="76"/>
        <v>0</v>
      </c>
      <c r="AW448">
        <f t="shared" si="77"/>
        <v>0</v>
      </c>
      <c r="AX448">
        <f t="shared" si="78"/>
        <v>0</v>
      </c>
      <c r="AY448">
        <f t="shared" si="79"/>
        <v>0</v>
      </c>
    </row>
    <row r="449" spans="38:51" x14ac:dyDescent="0.35">
      <c r="AL449" s="19" t="s">
        <v>317</v>
      </c>
      <c r="AM449">
        <f t="shared" si="67"/>
        <v>0</v>
      </c>
      <c r="AN449">
        <f t="shared" si="68"/>
        <v>0</v>
      </c>
      <c r="AO449">
        <f t="shared" si="69"/>
        <v>0</v>
      </c>
      <c r="AP449">
        <f t="shared" si="70"/>
        <v>0</v>
      </c>
      <c r="AQ449">
        <f t="shared" si="71"/>
        <v>0</v>
      </c>
      <c r="AR449">
        <f t="shared" si="72"/>
        <v>0</v>
      </c>
      <c r="AS449">
        <f t="shared" si="73"/>
        <v>0</v>
      </c>
      <c r="AT449">
        <f t="shared" si="74"/>
        <v>0</v>
      </c>
      <c r="AU449">
        <f t="shared" si="75"/>
        <v>0</v>
      </c>
      <c r="AV449">
        <f t="shared" si="76"/>
        <v>0</v>
      </c>
      <c r="AW449">
        <f t="shared" si="77"/>
        <v>0</v>
      </c>
      <c r="AX449">
        <f t="shared" si="78"/>
        <v>0</v>
      </c>
      <c r="AY449">
        <f t="shared" si="79"/>
        <v>0</v>
      </c>
    </row>
    <row r="450" spans="38:51" x14ac:dyDescent="0.35">
      <c r="AL450" s="19" t="s">
        <v>318</v>
      </c>
      <c r="AM450">
        <f t="shared" si="67"/>
        <v>0</v>
      </c>
      <c r="AN450">
        <f t="shared" si="68"/>
        <v>0</v>
      </c>
      <c r="AO450">
        <f t="shared" si="69"/>
        <v>0</v>
      </c>
      <c r="AP450">
        <f t="shared" si="70"/>
        <v>0</v>
      </c>
      <c r="AQ450">
        <f t="shared" si="71"/>
        <v>0</v>
      </c>
      <c r="AR450">
        <f t="shared" si="72"/>
        <v>0</v>
      </c>
      <c r="AS450">
        <f t="shared" si="73"/>
        <v>0</v>
      </c>
      <c r="AT450">
        <f t="shared" si="74"/>
        <v>0</v>
      </c>
      <c r="AU450">
        <f t="shared" si="75"/>
        <v>0</v>
      </c>
      <c r="AV450">
        <f t="shared" si="76"/>
        <v>0</v>
      </c>
      <c r="AW450">
        <f t="shared" si="77"/>
        <v>0</v>
      </c>
      <c r="AX450">
        <f t="shared" si="78"/>
        <v>0</v>
      </c>
      <c r="AY450">
        <f t="shared" si="79"/>
        <v>0</v>
      </c>
    </row>
    <row r="451" spans="38:51" x14ac:dyDescent="0.35">
      <c r="AL451" s="19" t="s">
        <v>319</v>
      </c>
      <c r="AM451">
        <f t="shared" si="67"/>
        <v>0</v>
      </c>
      <c r="AN451">
        <f t="shared" si="68"/>
        <v>0</v>
      </c>
      <c r="AO451">
        <f t="shared" si="69"/>
        <v>0</v>
      </c>
      <c r="AP451">
        <f t="shared" si="70"/>
        <v>0</v>
      </c>
      <c r="AQ451">
        <f t="shared" si="71"/>
        <v>0</v>
      </c>
      <c r="AR451">
        <f t="shared" si="72"/>
        <v>0</v>
      </c>
      <c r="AS451">
        <f t="shared" si="73"/>
        <v>0</v>
      </c>
      <c r="AT451">
        <f t="shared" si="74"/>
        <v>0</v>
      </c>
      <c r="AU451">
        <f t="shared" si="75"/>
        <v>0</v>
      </c>
      <c r="AV451">
        <f t="shared" si="76"/>
        <v>0</v>
      </c>
      <c r="AW451">
        <f t="shared" si="77"/>
        <v>0</v>
      </c>
      <c r="AX451">
        <f t="shared" si="78"/>
        <v>0</v>
      </c>
      <c r="AY451">
        <f t="shared" si="79"/>
        <v>0</v>
      </c>
    </row>
    <row r="452" spans="38:51" x14ac:dyDescent="0.35">
      <c r="AL452" s="19" t="s">
        <v>320</v>
      </c>
      <c r="AM452">
        <f t="shared" si="67"/>
        <v>0</v>
      </c>
      <c r="AN452">
        <f t="shared" si="68"/>
        <v>0</v>
      </c>
      <c r="AO452">
        <f t="shared" si="69"/>
        <v>0</v>
      </c>
      <c r="AP452">
        <f t="shared" si="70"/>
        <v>0</v>
      </c>
      <c r="AQ452">
        <f t="shared" si="71"/>
        <v>0</v>
      </c>
      <c r="AR452">
        <f t="shared" si="72"/>
        <v>0</v>
      </c>
      <c r="AS452">
        <f t="shared" si="73"/>
        <v>0</v>
      </c>
      <c r="AT452">
        <f t="shared" si="74"/>
        <v>0</v>
      </c>
      <c r="AU452">
        <f t="shared" si="75"/>
        <v>0</v>
      </c>
      <c r="AV452">
        <f t="shared" si="76"/>
        <v>0</v>
      </c>
      <c r="AW452">
        <f t="shared" si="77"/>
        <v>0</v>
      </c>
      <c r="AX452">
        <f t="shared" si="78"/>
        <v>0</v>
      </c>
      <c r="AY452">
        <f t="shared" si="79"/>
        <v>0</v>
      </c>
    </row>
    <row r="453" spans="38:51" x14ac:dyDescent="0.35">
      <c r="AL453" s="19" t="s">
        <v>321</v>
      </c>
      <c r="AM453">
        <f t="shared" si="67"/>
        <v>0</v>
      </c>
      <c r="AN453">
        <f t="shared" si="68"/>
        <v>0</v>
      </c>
      <c r="AO453">
        <f t="shared" si="69"/>
        <v>0</v>
      </c>
      <c r="AP453">
        <f t="shared" si="70"/>
        <v>0</v>
      </c>
      <c r="AQ453">
        <f t="shared" si="71"/>
        <v>0</v>
      </c>
      <c r="AR453">
        <f t="shared" si="72"/>
        <v>0</v>
      </c>
      <c r="AS453">
        <f t="shared" si="73"/>
        <v>0</v>
      </c>
      <c r="AT453">
        <f t="shared" si="74"/>
        <v>0</v>
      </c>
      <c r="AU453">
        <f t="shared" si="75"/>
        <v>0</v>
      </c>
      <c r="AV453">
        <f t="shared" si="76"/>
        <v>0</v>
      </c>
      <c r="AW453">
        <f t="shared" si="77"/>
        <v>0</v>
      </c>
      <c r="AX453">
        <f t="shared" si="78"/>
        <v>0</v>
      </c>
      <c r="AY453">
        <f t="shared" si="79"/>
        <v>0</v>
      </c>
    </row>
    <row r="454" spans="38:51" x14ac:dyDescent="0.35">
      <c r="AL454" s="19" t="s">
        <v>322</v>
      </c>
      <c r="AM454">
        <f t="shared" si="67"/>
        <v>0</v>
      </c>
      <c r="AN454">
        <f t="shared" si="68"/>
        <v>0</v>
      </c>
      <c r="AO454">
        <f t="shared" si="69"/>
        <v>0</v>
      </c>
      <c r="AP454">
        <f t="shared" si="70"/>
        <v>0</v>
      </c>
      <c r="AQ454">
        <f t="shared" si="71"/>
        <v>0</v>
      </c>
      <c r="AR454">
        <f t="shared" si="72"/>
        <v>0</v>
      </c>
      <c r="AS454">
        <f t="shared" si="73"/>
        <v>0</v>
      </c>
      <c r="AT454">
        <f t="shared" si="74"/>
        <v>0</v>
      </c>
      <c r="AU454">
        <f t="shared" si="75"/>
        <v>0</v>
      </c>
      <c r="AV454">
        <f t="shared" si="76"/>
        <v>0</v>
      </c>
      <c r="AW454">
        <f t="shared" si="77"/>
        <v>0</v>
      </c>
      <c r="AX454">
        <f t="shared" si="78"/>
        <v>0</v>
      </c>
      <c r="AY454">
        <f t="shared" si="79"/>
        <v>0</v>
      </c>
    </row>
    <row r="455" spans="38:51" x14ac:dyDescent="0.35">
      <c r="AL455" s="19" t="s">
        <v>323</v>
      </c>
      <c r="AM455">
        <f t="shared" si="67"/>
        <v>0</v>
      </c>
      <c r="AN455">
        <f t="shared" si="68"/>
        <v>0</v>
      </c>
      <c r="AO455">
        <f t="shared" si="69"/>
        <v>0</v>
      </c>
      <c r="AP455">
        <f t="shared" si="70"/>
        <v>0</v>
      </c>
      <c r="AQ455">
        <f t="shared" si="71"/>
        <v>0</v>
      </c>
      <c r="AR455">
        <f t="shared" si="72"/>
        <v>0</v>
      </c>
      <c r="AS455">
        <f t="shared" si="73"/>
        <v>0</v>
      </c>
      <c r="AT455">
        <f t="shared" si="74"/>
        <v>0</v>
      </c>
      <c r="AU455">
        <f t="shared" si="75"/>
        <v>0</v>
      </c>
      <c r="AV455">
        <f t="shared" si="76"/>
        <v>0</v>
      </c>
      <c r="AW455">
        <f t="shared" si="77"/>
        <v>0</v>
      </c>
      <c r="AX455">
        <f t="shared" si="78"/>
        <v>0</v>
      </c>
      <c r="AY455">
        <f t="shared" si="79"/>
        <v>0</v>
      </c>
    </row>
    <row r="456" spans="38:51" x14ac:dyDescent="0.35">
      <c r="AL456" s="19" t="s">
        <v>324</v>
      </c>
      <c r="AM456">
        <f t="shared" si="67"/>
        <v>0</v>
      </c>
      <c r="AN456">
        <f t="shared" si="68"/>
        <v>0</v>
      </c>
      <c r="AO456">
        <f t="shared" si="69"/>
        <v>0</v>
      </c>
      <c r="AP456">
        <f t="shared" si="70"/>
        <v>0</v>
      </c>
      <c r="AQ456">
        <f t="shared" si="71"/>
        <v>0</v>
      </c>
      <c r="AR456">
        <f t="shared" si="72"/>
        <v>0</v>
      </c>
      <c r="AS456">
        <f t="shared" si="73"/>
        <v>0</v>
      </c>
      <c r="AT456">
        <f t="shared" si="74"/>
        <v>0</v>
      </c>
      <c r="AU456">
        <f t="shared" si="75"/>
        <v>0</v>
      </c>
      <c r="AV456">
        <f t="shared" si="76"/>
        <v>0</v>
      </c>
      <c r="AW456">
        <f t="shared" si="77"/>
        <v>0</v>
      </c>
      <c r="AX456">
        <f t="shared" si="78"/>
        <v>0</v>
      </c>
      <c r="AY456">
        <f t="shared" si="79"/>
        <v>0</v>
      </c>
    </row>
    <row r="457" spans="38:51" x14ac:dyDescent="0.35">
      <c r="AL457" s="19" t="s">
        <v>325</v>
      </c>
      <c r="AM457">
        <f t="shared" si="67"/>
        <v>0</v>
      </c>
      <c r="AN457">
        <f t="shared" si="68"/>
        <v>0</v>
      </c>
      <c r="AO457">
        <f t="shared" si="69"/>
        <v>0</v>
      </c>
      <c r="AP457">
        <f t="shared" si="70"/>
        <v>0</v>
      </c>
      <c r="AQ457">
        <f t="shared" si="71"/>
        <v>0</v>
      </c>
      <c r="AR457">
        <f t="shared" si="72"/>
        <v>0</v>
      </c>
      <c r="AS457">
        <f t="shared" si="73"/>
        <v>0</v>
      </c>
      <c r="AT457">
        <f t="shared" si="74"/>
        <v>0</v>
      </c>
      <c r="AU457">
        <f t="shared" si="75"/>
        <v>0</v>
      </c>
      <c r="AV457">
        <f t="shared" si="76"/>
        <v>0</v>
      </c>
      <c r="AW457">
        <f t="shared" si="77"/>
        <v>0</v>
      </c>
      <c r="AX457">
        <f t="shared" si="78"/>
        <v>0</v>
      </c>
      <c r="AY457">
        <f t="shared" si="79"/>
        <v>0</v>
      </c>
    </row>
    <row r="458" spans="38:51" x14ac:dyDescent="0.35">
      <c r="AL458" s="19" t="s">
        <v>326</v>
      </c>
      <c r="AM458">
        <f t="shared" si="67"/>
        <v>0</v>
      </c>
      <c r="AN458">
        <f t="shared" si="68"/>
        <v>0</v>
      </c>
      <c r="AO458">
        <f t="shared" si="69"/>
        <v>0</v>
      </c>
      <c r="AP458">
        <f t="shared" si="70"/>
        <v>0</v>
      </c>
      <c r="AQ458">
        <f t="shared" si="71"/>
        <v>0</v>
      </c>
      <c r="AR458">
        <f t="shared" si="72"/>
        <v>0</v>
      </c>
      <c r="AS458">
        <f t="shared" si="73"/>
        <v>0</v>
      </c>
      <c r="AT458">
        <f t="shared" si="74"/>
        <v>0</v>
      </c>
      <c r="AU458">
        <f t="shared" si="75"/>
        <v>0</v>
      </c>
      <c r="AV458">
        <f t="shared" si="76"/>
        <v>0</v>
      </c>
      <c r="AW458">
        <f t="shared" si="77"/>
        <v>0</v>
      </c>
      <c r="AX458">
        <f t="shared" si="78"/>
        <v>0</v>
      </c>
      <c r="AY458">
        <f t="shared" si="79"/>
        <v>0</v>
      </c>
    </row>
    <row r="459" spans="38:51" x14ac:dyDescent="0.35">
      <c r="AL459" s="19" t="s">
        <v>327</v>
      </c>
      <c r="AM459">
        <f t="shared" si="67"/>
        <v>0</v>
      </c>
      <c r="AN459">
        <f t="shared" si="68"/>
        <v>0</v>
      </c>
      <c r="AO459">
        <f t="shared" si="69"/>
        <v>0</v>
      </c>
      <c r="AP459">
        <f t="shared" si="70"/>
        <v>0</v>
      </c>
      <c r="AQ459">
        <f t="shared" si="71"/>
        <v>0</v>
      </c>
      <c r="AR459">
        <f t="shared" si="72"/>
        <v>0</v>
      </c>
      <c r="AS459">
        <f t="shared" si="73"/>
        <v>0</v>
      </c>
      <c r="AT459">
        <f t="shared" si="74"/>
        <v>0</v>
      </c>
      <c r="AU459">
        <f t="shared" si="75"/>
        <v>0</v>
      </c>
      <c r="AV459">
        <f t="shared" si="76"/>
        <v>0</v>
      </c>
      <c r="AW459">
        <f t="shared" si="77"/>
        <v>0</v>
      </c>
      <c r="AX459">
        <f t="shared" si="78"/>
        <v>0</v>
      </c>
      <c r="AY459">
        <f t="shared" si="79"/>
        <v>0</v>
      </c>
    </row>
    <row r="460" spans="38:51" x14ac:dyDescent="0.35">
      <c r="AL460" s="19" t="s">
        <v>328</v>
      </c>
      <c r="AM460">
        <f t="shared" si="67"/>
        <v>0</v>
      </c>
      <c r="AN460">
        <f t="shared" si="68"/>
        <v>0</v>
      </c>
      <c r="AO460">
        <f t="shared" si="69"/>
        <v>0</v>
      </c>
      <c r="AP460">
        <f t="shared" si="70"/>
        <v>0</v>
      </c>
      <c r="AQ460">
        <f t="shared" si="71"/>
        <v>0</v>
      </c>
      <c r="AR460">
        <f t="shared" si="72"/>
        <v>0</v>
      </c>
      <c r="AS460">
        <f t="shared" si="73"/>
        <v>0</v>
      </c>
      <c r="AT460">
        <f t="shared" si="74"/>
        <v>0</v>
      </c>
      <c r="AU460">
        <f t="shared" si="75"/>
        <v>0</v>
      </c>
      <c r="AV460">
        <f t="shared" si="76"/>
        <v>0</v>
      </c>
      <c r="AW460">
        <f t="shared" si="77"/>
        <v>0</v>
      </c>
      <c r="AX460">
        <f t="shared" si="78"/>
        <v>0</v>
      </c>
      <c r="AY460">
        <f t="shared" si="79"/>
        <v>0</v>
      </c>
    </row>
    <row r="461" spans="38:51" x14ac:dyDescent="0.35">
      <c r="AL461" s="19" t="s">
        <v>329</v>
      </c>
      <c r="AM461">
        <f t="shared" si="67"/>
        <v>0</v>
      </c>
      <c r="AN461">
        <f t="shared" si="68"/>
        <v>0</v>
      </c>
      <c r="AO461">
        <f t="shared" si="69"/>
        <v>0</v>
      </c>
      <c r="AP461">
        <f t="shared" si="70"/>
        <v>0</v>
      </c>
      <c r="AQ461">
        <f t="shared" si="71"/>
        <v>0</v>
      </c>
      <c r="AR461">
        <f t="shared" si="72"/>
        <v>0</v>
      </c>
      <c r="AS461">
        <f t="shared" si="73"/>
        <v>1</v>
      </c>
      <c r="AT461">
        <f t="shared" si="74"/>
        <v>0</v>
      </c>
      <c r="AU461">
        <f t="shared" si="75"/>
        <v>0</v>
      </c>
      <c r="AV461">
        <f t="shared" si="76"/>
        <v>0</v>
      </c>
      <c r="AW461">
        <f t="shared" si="77"/>
        <v>0</v>
      </c>
      <c r="AX461">
        <f t="shared" si="78"/>
        <v>0</v>
      </c>
      <c r="AY461">
        <f t="shared" si="79"/>
        <v>0</v>
      </c>
    </row>
    <row r="462" spans="38:51" x14ac:dyDescent="0.35">
      <c r="AL462" s="19" t="s">
        <v>330</v>
      </c>
      <c r="AM462">
        <f t="shared" si="67"/>
        <v>0</v>
      </c>
      <c r="AN462">
        <f t="shared" si="68"/>
        <v>0</v>
      </c>
      <c r="AO462">
        <f t="shared" si="69"/>
        <v>0</v>
      </c>
      <c r="AP462">
        <f t="shared" si="70"/>
        <v>0</v>
      </c>
      <c r="AQ462">
        <f t="shared" si="71"/>
        <v>0</v>
      </c>
      <c r="AR462">
        <f t="shared" si="72"/>
        <v>0</v>
      </c>
      <c r="AS462">
        <f t="shared" si="73"/>
        <v>0</v>
      </c>
      <c r="AT462">
        <f t="shared" si="74"/>
        <v>0</v>
      </c>
      <c r="AU462">
        <f t="shared" si="75"/>
        <v>0</v>
      </c>
      <c r="AV462">
        <f t="shared" si="76"/>
        <v>0</v>
      </c>
      <c r="AW462">
        <f t="shared" si="77"/>
        <v>0</v>
      </c>
      <c r="AX462">
        <f t="shared" si="78"/>
        <v>0</v>
      </c>
      <c r="AY462">
        <f t="shared" si="79"/>
        <v>0</v>
      </c>
    </row>
    <row r="463" spans="38:51" x14ac:dyDescent="0.35">
      <c r="AL463" s="19" t="s">
        <v>331</v>
      </c>
      <c r="AM463">
        <f t="shared" si="67"/>
        <v>0</v>
      </c>
      <c r="AN463">
        <f t="shared" si="68"/>
        <v>0</v>
      </c>
      <c r="AO463">
        <f t="shared" si="69"/>
        <v>0</v>
      </c>
      <c r="AP463">
        <f t="shared" si="70"/>
        <v>0</v>
      </c>
      <c r="AQ463">
        <f t="shared" si="71"/>
        <v>0</v>
      </c>
      <c r="AR463">
        <f t="shared" si="72"/>
        <v>0</v>
      </c>
      <c r="AS463">
        <f t="shared" si="73"/>
        <v>0</v>
      </c>
      <c r="AT463">
        <f t="shared" si="74"/>
        <v>0</v>
      </c>
      <c r="AU463">
        <f t="shared" si="75"/>
        <v>0</v>
      </c>
      <c r="AV463">
        <f t="shared" si="76"/>
        <v>0</v>
      </c>
      <c r="AW463">
        <f t="shared" si="77"/>
        <v>0</v>
      </c>
      <c r="AX463">
        <f t="shared" si="78"/>
        <v>0</v>
      </c>
      <c r="AY463">
        <f t="shared" si="79"/>
        <v>0</v>
      </c>
    </row>
    <row r="464" spans="38:51" x14ac:dyDescent="0.35">
      <c r="AL464" s="19" t="s">
        <v>332</v>
      </c>
      <c r="AM464">
        <f t="shared" si="67"/>
        <v>0</v>
      </c>
      <c r="AN464">
        <f t="shared" si="68"/>
        <v>0</v>
      </c>
      <c r="AO464">
        <f t="shared" si="69"/>
        <v>0</v>
      </c>
      <c r="AP464">
        <f t="shared" si="70"/>
        <v>0</v>
      </c>
      <c r="AQ464">
        <f t="shared" si="71"/>
        <v>0</v>
      </c>
      <c r="AR464">
        <f t="shared" si="72"/>
        <v>0</v>
      </c>
      <c r="AS464">
        <f t="shared" si="73"/>
        <v>0</v>
      </c>
      <c r="AT464">
        <f t="shared" si="74"/>
        <v>0</v>
      </c>
      <c r="AU464">
        <f t="shared" si="75"/>
        <v>0</v>
      </c>
      <c r="AV464">
        <f t="shared" si="76"/>
        <v>0</v>
      </c>
      <c r="AW464">
        <f t="shared" si="77"/>
        <v>0</v>
      </c>
      <c r="AX464">
        <f t="shared" si="78"/>
        <v>0</v>
      </c>
      <c r="AY464">
        <f t="shared" si="79"/>
        <v>0</v>
      </c>
    </row>
    <row r="465" spans="38:51" x14ac:dyDescent="0.35">
      <c r="AL465" s="19" t="s">
        <v>333</v>
      </c>
      <c r="AM465">
        <f t="shared" si="67"/>
        <v>0</v>
      </c>
      <c r="AN465">
        <f t="shared" si="68"/>
        <v>0</v>
      </c>
      <c r="AO465">
        <f t="shared" si="69"/>
        <v>0</v>
      </c>
      <c r="AP465">
        <f t="shared" si="70"/>
        <v>0</v>
      </c>
      <c r="AQ465">
        <f t="shared" si="71"/>
        <v>1</v>
      </c>
      <c r="AR465">
        <f t="shared" si="72"/>
        <v>0</v>
      </c>
      <c r="AS465">
        <f t="shared" si="73"/>
        <v>0</v>
      </c>
      <c r="AT465">
        <f t="shared" si="74"/>
        <v>0</v>
      </c>
      <c r="AU465">
        <f t="shared" si="75"/>
        <v>0</v>
      </c>
      <c r="AV465">
        <f t="shared" si="76"/>
        <v>1</v>
      </c>
      <c r="AW465">
        <f t="shared" si="77"/>
        <v>0</v>
      </c>
      <c r="AX465">
        <f t="shared" si="78"/>
        <v>0</v>
      </c>
      <c r="AY465">
        <f t="shared" si="79"/>
        <v>0</v>
      </c>
    </row>
    <row r="466" spans="38:51" x14ac:dyDescent="0.35">
      <c r="AL466" s="19" t="s">
        <v>334</v>
      </c>
      <c r="AM466">
        <f t="shared" si="67"/>
        <v>0</v>
      </c>
      <c r="AN466">
        <f t="shared" si="68"/>
        <v>0</v>
      </c>
      <c r="AO466">
        <f t="shared" si="69"/>
        <v>0</v>
      </c>
      <c r="AP466">
        <f t="shared" si="70"/>
        <v>0</v>
      </c>
      <c r="AQ466">
        <f t="shared" si="71"/>
        <v>0</v>
      </c>
      <c r="AR466">
        <f t="shared" si="72"/>
        <v>0</v>
      </c>
      <c r="AS466">
        <f t="shared" si="73"/>
        <v>0</v>
      </c>
      <c r="AT466">
        <f t="shared" si="74"/>
        <v>0</v>
      </c>
      <c r="AU466">
        <f t="shared" si="75"/>
        <v>0</v>
      </c>
      <c r="AV466">
        <f t="shared" si="76"/>
        <v>0</v>
      </c>
      <c r="AW466">
        <f t="shared" si="77"/>
        <v>0</v>
      </c>
      <c r="AX466">
        <f t="shared" si="78"/>
        <v>0</v>
      </c>
      <c r="AY466">
        <f t="shared" si="79"/>
        <v>0</v>
      </c>
    </row>
    <row r="467" spans="38:51" x14ac:dyDescent="0.35">
      <c r="AL467" s="19" t="s">
        <v>335</v>
      </c>
      <c r="AM467">
        <f t="shared" si="67"/>
        <v>0</v>
      </c>
      <c r="AN467">
        <f t="shared" si="68"/>
        <v>0</v>
      </c>
      <c r="AO467">
        <f t="shared" si="69"/>
        <v>0</v>
      </c>
      <c r="AP467">
        <f t="shared" si="70"/>
        <v>0</v>
      </c>
      <c r="AQ467">
        <f t="shared" si="71"/>
        <v>0</v>
      </c>
      <c r="AR467">
        <f t="shared" si="72"/>
        <v>0</v>
      </c>
      <c r="AS467">
        <f t="shared" si="73"/>
        <v>0</v>
      </c>
      <c r="AT467">
        <f t="shared" si="74"/>
        <v>0</v>
      </c>
      <c r="AU467">
        <f t="shared" si="75"/>
        <v>0</v>
      </c>
      <c r="AV467">
        <f t="shared" si="76"/>
        <v>0</v>
      </c>
      <c r="AW467">
        <f t="shared" si="77"/>
        <v>0</v>
      </c>
      <c r="AX467">
        <f t="shared" si="78"/>
        <v>0</v>
      </c>
      <c r="AY467">
        <f t="shared" si="79"/>
        <v>0</v>
      </c>
    </row>
    <row r="468" spans="38:51" x14ac:dyDescent="0.35">
      <c r="AL468" s="19" t="s">
        <v>336</v>
      </c>
      <c r="AM468">
        <f t="shared" si="67"/>
        <v>0</v>
      </c>
      <c r="AN468">
        <f t="shared" si="68"/>
        <v>0</v>
      </c>
      <c r="AO468">
        <f t="shared" si="69"/>
        <v>0</v>
      </c>
      <c r="AP468">
        <f t="shared" si="70"/>
        <v>0</v>
      </c>
      <c r="AQ468">
        <f t="shared" si="71"/>
        <v>0</v>
      </c>
      <c r="AR468">
        <f t="shared" si="72"/>
        <v>0</v>
      </c>
      <c r="AS468">
        <f t="shared" si="73"/>
        <v>0</v>
      </c>
      <c r="AT468">
        <f t="shared" si="74"/>
        <v>0</v>
      </c>
      <c r="AU468">
        <f t="shared" si="75"/>
        <v>0</v>
      </c>
      <c r="AV468">
        <f t="shared" si="76"/>
        <v>0</v>
      </c>
      <c r="AW468">
        <f t="shared" si="77"/>
        <v>0</v>
      </c>
      <c r="AX468">
        <f t="shared" si="78"/>
        <v>0</v>
      </c>
      <c r="AY468">
        <f t="shared" si="79"/>
        <v>0</v>
      </c>
    </row>
    <row r="469" spans="38:51" x14ac:dyDescent="0.35">
      <c r="AL469" s="19" t="s">
        <v>337</v>
      </c>
      <c r="AM469">
        <f t="shared" si="67"/>
        <v>0</v>
      </c>
      <c r="AN469">
        <f t="shared" si="68"/>
        <v>0</v>
      </c>
      <c r="AO469">
        <f t="shared" si="69"/>
        <v>0</v>
      </c>
      <c r="AP469">
        <f t="shared" si="70"/>
        <v>0</v>
      </c>
      <c r="AQ469">
        <f t="shared" si="71"/>
        <v>0</v>
      </c>
      <c r="AR469">
        <f t="shared" si="72"/>
        <v>0</v>
      </c>
      <c r="AS469">
        <f t="shared" si="73"/>
        <v>0</v>
      </c>
      <c r="AT469">
        <f t="shared" si="74"/>
        <v>0</v>
      </c>
      <c r="AU469">
        <f t="shared" si="75"/>
        <v>0</v>
      </c>
      <c r="AV469">
        <f t="shared" si="76"/>
        <v>0</v>
      </c>
      <c r="AW469">
        <f t="shared" si="77"/>
        <v>0</v>
      </c>
      <c r="AX469">
        <f t="shared" si="78"/>
        <v>0</v>
      </c>
      <c r="AY469">
        <f t="shared" si="79"/>
        <v>0</v>
      </c>
    </row>
    <row r="470" spans="38:51" x14ac:dyDescent="0.35">
      <c r="AL470" s="19" t="s">
        <v>338</v>
      </c>
      <c r="AM470">
        <f t="shared" si="67"/>
        <v>0</v>
      </c>
      <c r="AN470">
        <f t="shared" si="68"/>
        <v>0</v>
      </c>
      <c r="AO470">
        <f t="shared" si="69"/>
        <v>0</v>
      </c>
      <c r="AP470">
        <f t="shared" si="70"/>
        <v>0</v>
      </c>
      <c r="AQ470">
        <f t="shared" si="71"/>
        <v>0</v>
      </c>
      <c r="AR470">
        <f t="shared" si="72"/>
        <v>0</v>
      </c>
      <c r="AS470">
        <f t="shared" si="73"/>
        <v>0</v>
      </c>
      <c r="AT470">
        <f t="shared" si="74"/>
        <v>0</v>
      </c>
      <c r="AU470">
        <f t="shared" si="75"/>
        <v>0</v>
      </c>
      <c r="AV470">
        <f t="shared" si="76"/>
        <v>0</v>
      </c>
      <c r="AW470">
        <f t="shared" si="77"/>
        <v>0</v>
      </c>
      <c r="AX470">
        <f t="shared" si="78"/>
        <v>0</v>
      </c>
      <c r="AY470">
        <f t="shared" si="79"/>
        <v>0</v>
      </c>
    </row>
    <row r="471" spans="38:51" x14ac:dyDescent="0.35">
      <c r="AL471" s="19" t="s">
        <v>339</v>
      </c>
      <c r="AM471">
        <f t="shared" si="67"/>
        <v>0</v>
      </c>
      <c r="AN471">
        <f t="shared" si="68"/>
        <v>0</v>
      </c>
      <c r="AO471">
        <f t="shared" si="69"/>
        <v>0</v>
      </c>
      <c r="AP471">
        <f t="shared" si="70"/>
        <v>0</v>
      </c>
      <c r="AQ471">
        <f t="shared" si="71"/>
        <v>0</v>
      </c>
      <c r="AR471">
        <f t="shared" si="72"/>
        <v>0</v>
      </c>
      <c r="AS471">
        <f t="shared" si="73"/>
        <v>0</v>
      </c>
      <c r="AT471">
        <f t="shared" si="74"/>
        <v>0</v>
      </c>
      <c r="AU471">
        <f t="shared" si="75"/>
        <v>0</v>
      </c>
      <c r="AV471">
        <f t="shared" si="76"/>
        <v>0</v>
      </c>
      <c r="AW471">
        <f t="shared" si="77"/>
        <v>0</v>
      </c>
      <c r="AX471">
        <f t="shared" si="78"/>
        <v>0</v>
      </c>
      <c r="AY471">
        <f t="shared" si="79"/>
        <v>0</v>
      </c>
    </row>
    <row r="472" spans="38:51" x14ac:dyDescent="0.35">
      <c r="AL472" s="19" t="s">
        <v>340</v>
      </c>
      <c r="AM472">
        <f t="shared" si="67"/>
        <v>0</v>
      </c>
      <c r="AN472">
        <f t="shared" si="68"/>
        <v>0</v>
      </c>
      <c r="AO472">
        <f t="shared" si="69"/>
        <v>0</v>
      </c>
      <c r="AP472">
        <f t="shared" si="70"/>
        <v>0</v>
      </c>
      <c r="AQ472">
        <f t="shared" si="71"/>
        <v>0</v>
      </c>
      <c r="AR472">
        <f t="shared" si="72"/>
        <v>0</v>
      </c>
      <c r="AS472">
        <f t="shared" si="73"/>
        <v>0</v>
      </c>
      <c r="AT472">
        <f t="shared" si="74"/>
        <v>0</v>
      </c>
      <c r="AU472">
        <f t="shared" si="75"/>
        <v>0</v>
      </c>
      <c r="AV472">
        <f t="shared" si="76"/>
        <v>0</v>
      </c>
      <c r="AW472">
        <f t="shared" si="77"/>
        <v>0</v>
      </c>
      <c r="AX472">
        <f t="shared" si="78"/>
        <v>0</v>
      </c>
      <c r="AY472">
        <f t="shared" si="79"/>
        <v>0</v>
      </c>
    </row>
    <row r="473" spans="38:51" x14ac:dyDescent="0.35">
      <c r="AL473" s="19" t="s">
        <v>341</v>
      </c>
      <c r="AM473">
        <f t="shared" si="67"/>
        <v>0</v>
      </c>
      <c r="AN473">
        <f t="shared" si="68"/>
        <v>0</v>
      </c>
      <c r="AO473">
        <f t="shared" si="69"/>
        <v>0</v>
      </c>
      <c r="AP473">
        <f t="shared" si="70"/>
        <v>0</v>
      </c>
      <c r="AQ473">
        <f t="shared" si="71"/>
        <v>0</v>
      </c>
      <c r="AR473">
        <f t="shared" si="72"/>
        <v>0</v>
      </c>
      <c r="AS473">
        <f t="shared" si="73"/>
        <v>0</v>
      </c>
      <c r="AT473">
        <f t="shared" si="74"/>
        <v>0</v>
      </c>
      <c r="AU473">
        <f t="shared" si="75"/>
        <v>0</v>
      </c>
      <c r="AV473">
        <f t="shared" si="76"/>
        <v>0</v>
      </c>
      <c r="AW473">
        <f t="shared" si="77"/>
        <v>0</v>
      </c>
      <c r="AX473">
        <f t="shared" si="78"/>
        <v>0</v>
      </c>
      <c r="AY473">
        <f t="shared" si="79"/>
        <v>0</v>
      </c>
    </row>
    <row r="474" spans="38:51" x14ac:dyDescent="0.35">
      <c r="AL474" s="19" t="s">
        <v>342</v>
      </c>
      <c r="AM474">
        <f t="shared" si="67"/>
        <v>0</v>
      </c>
      <c r="AN474">
        <f t="shared" si="68"/>
        <v>0</v>
      </c>
      <c r="AO474">
        <f t="shared" si="69"/>
        <v>0</v>
      </c>
      <c r="AP474">
        <f t="shared" si="70"/>
        <v>0</v>
      </c>
      <c r="AQ474">
        <f t="shared" si="71"/>
        <v>0</v>
      </c>
      <c r="AR474">
        <f t="shared" si="72"/>
        <v>0</v>
      </c>
      <c r="AS474">
        <f t="shared" si="73"/>
        <v>1</v>
      </c>
      <c r="AT474">
        <f t="shared" si="74"/>
        <v>0</v>
      </c>
      <c r="AU474">
        <f t="shared" si="75"/>
        <v>0</v>
      </c>
      <c r="AV474">
        <f t="shared" si="76"/>
        <v>0</v>
      </c>
      <c r="AW474">
        <f t="shared" si="77"/>
        <v>0</v>
      </c>
      <c r="AX474">
        <f t="shared" si="78"/>
        <v>0</v>
      </c>
      <c r="AY474">
        <f t="shared" si="79"/>
        <v>0</v>
      </c>
    </row>
    <row r="475" spans="38:51" x14ac:dyDescent="0.35">
      <c r="AL475" s="19" t="s">
        <v>343</v>
      </c>
      <c r="AM475">
        <f t="shared" si="67"/>
        <v>0</v>
      </c>
      <c r="AN475">
        <f t="shared" si="68"/>
        <v>1</v>
      </c>
      <c r="AO475">
        <f t="shared" si="69"/>
        <v>0</v>
      </c>
      <c r="AP475">
        <f t="shared" si="70"/>
        <v>0</v>
      </c>
      <c r="AQ475">
        <f t="shared" si="71"/>
        <v>0</v>
      </c>
      <c r="AR475">
        <f t="shared" si="72"/>
        <v>0</v>
      </c>
      <c r="AS475">
        <f t="shared" si="73"/>
        <v>0</v>
      </c>
      <c r="AT475">
        <f t="shared" si="74"/>
        <v>0</v>
      </c>
      <c r="AU475">
        <f t="shared" si="75"/>
        <v>0</v>
      </c>
      <c r="AV475">
        <f t="shared" si="76"/>
        <v>0</v>
      </c>
      <c r="AW475">
        <f t="shared" si="77"/>
        <v>0</v>
      </c>
      <c r="AX475">
        <f t="shared" si="78"/>
        <v>0</v>
      </c>
      <c r="AY475">
        <f t="shared" si="79"/>
        <v>0</v>
      </c>
    </row>
    <row r="476" spans="38:51" x14ac:dyDescent="0.35">
      <c r="AL476" s="19" t="s">
        <v>344</v>
      </c>
      <c r="AM476">
        <f t="shared" si="67"/>
        <v>0</v>
      </c>
      <c r="AN476">
        <f t="shared" si="68"/>
        <v>0</v>
      </c>
      <c r="AO476">
        <f t="shared" si="69"/>
        <v>0</v>
      </c>
      <c r="AP476">
        <f t="shared" si="70"/>
        <v>0</v>
      </c>
      <c r="AQ476">
        <f t="shared" si="71"/>
        <v>0</v>
      </c>
      <c r="AR476">
        <f t="shared" si="72"/>
        <v>0</v>
      </c>
      <c r="AS476">
        <f t="shared" si="73"/>
        <v>0</v>
      </c>
      <c r="AT476">
        <f t="shared" si="74"/>
        <v>0</v>
      </c>
      <c r="AU476">
        <f t="shared" si="75"/>
        <v>0</v>
      </c>
      <c r="AV476">
        <f t="shared" si="76"/>
        <v>0</v>
      </c>
      <c r="AW476">
        <f t="shared" si="77"/>
        <v>0</v>
      </c>
      <c r="AX476">
        <f t="shared" si="78"/>
        <v>0</v>
      </c>
      <c r="AY476">
        <f t="shared" si="79"/>
        <v>0</v>
      </c>
    </row>
    <row r="477" spans="38:51" x14ac:dyDescent="0.35">
      <c r="AL477" s="19" t="s">
        <v>345</v>
      </c>
      <c r="AM477">
        <f t="shared" si="67"/>
        <v>0</v>
      </c>
      <c r="AN477">
        <f t="shared" si="68"/>
        <v>0</v>
      </c>
      <c r="AO477">
        <f t="shared" si="69"/>
        <v>0</v>
      </c>
      <c r="AP477">
        <f t="shared" si="70"/>
        <v>0</v>
      </c>
      <c r="AQ477">
        <f t="shared" si="71"/>
        <v>0</v>
      </c>
      <c r="AR477">
        <f t="shared" si="72"/>
        <v>0</v>
      </c>
      <c r="AS477">
        <f t="shared" si="73"/>
        <v>0</v>
      </c>
      <c r="AT477">
        <f t="shared" si="74"/>
        <v>0</v>
      </c>
      <c r="AU477">
        <f t="shared" si="75"/>
        <v>0</v>
      </c>
      <c r="AV477">
        <f t="shared" si="76"/>
        <v>0</v>
      </c>
      <c r="AW477">
        <f t="shared" si="77"/>
        <v>0</v>
      </c>
      <c r="AX477">
        <f t="shared" si="78"/>
        <v>0</v>
      </c>
      <c r="AY477">
        <f t="shared" si="79"/>
        <v>0</v>
      </c>
    </row>
    <row r="478" spans="38:51" x14ac:dyDescent="0.35">
      <c r="AL478" s="19" t="s">
        <v>346</v>
      </c>
      <c r="AM478">
        <f t="shared" si="67"/>
        <v>0</v>
      </c>
      <c r="AN478">
        <f t="shared" si="68"/>
        <v>0</v>
      </c>
      <c r="AO478">
        <f t="shared" si="69"/>
        <v>0</v>
      </c>
      <c r="AP478">
        <f t="shared" si="70"/>
        <v>0</v>
      </c>
      <c r="AQ478">
        <f t="shared" si="71"/>
        <v>0</v>
      </c>
      <c r="AR478">
        <f t="shared" si="72"/>
        <v>0</v>
      </c>
      <c r="AS478">
        <f t="shared" si="73"/>
        <v>0</v>
      </c>
      <c r="AT478">
        <f t="shared" si="74"/>
        <v>0</v>
      </c>
      <c r="AU478">
        <f t="shared" si="75"/>
        <v>0</v>
      </c>
      <c r="AV478">
        <f t="shared" si="76"/>
        <v>0</v>
      </c>
      <c r="AW478">
        <f t="shared" si="77"/>
        <v>0</v>
      </c>
      <c r="AX478">
        <f t="shared" si="78"/>
        <v>0</v>
      </c>
      <c r="AY478">
        <f t="shared" si="79"/>
        <v>0</v>
      </c>
    </row>
    <row r="479" spans="38:51" x14ac:dyDescent="0.35">
      <c r="AL479" s="19" t="s">
        <v>347</v>
      </c>
      <c r="AM479">
        <f t="shared" si="67"/>
        <v>0</v>
      </c>
      <c r="AN479">
        <f t="shared" si="68"/>
        <v>0</v>
      </c>
      <c r="AO479">
        <f t="shared" si="69"/>
        <v>0</v>
      </c>
      <c r="AP479">
        <f t="shared" si="70"/>
        <v>0</v>
      </c>
      <c r="AQ479">
        <f t="shared" si="71"/>
        <v>0</v>
      </c>
      <c r="AR479">
        <f t="shared" si="72"/>
        <v>0</v>
      </c>
      <c r="AS479">
        <f t="shared" si="73"/>
        <v>0</v>
      </c>
      <c r="AT479">
        <f t="shared" si="74"/>
        <v>0</v>
      </c>
      <c r="AU479">
        <f t="shared" si="75"/>
        <v>0</v>
      </c>
      <c r="AV479">
        <f t="shared" si="76"/>
        <v>0</v>
      </c>
      <c r="AW479">
        <f t="shared" si="77"/>
        <v>0</v>
      </c>
      <c r="AX479">
        <f t="shared" si="78"/>
        <v>0</v>
      </c>
      <c r="AY479">
        <f t="shared" si="79"/>
        <v>0</v>
      </c>
    </row>
    <row r="480" spans="38:51" x14ac:dyDescent="0.35">
      <c r="AL480" s="19" t="s">
        <v>348</v>
      </c>
      <c r="AM480">
        <f t="shared" si="67"/>
        <v>0</v>
      </c>
      <c r="AN480">
        <f t="shared" si="68"/>
        <v>0</v>
      </c>
      <c r="AO480">
        <f t="shared" si="69"/>
        <v>0</v>
      </c>
      <c r="AP480">
        <f t="shared" si="70"/>
        <v>0</v>
      </c>
      <c r="AQ480">
        <f t="shared" si="71"/>
        <v>0</v>
      </c>
      <c r="AR480">
        <f t="shared" si="72"/>
        <v>0</v>
      </c>
      <c r="AS480">
        <f t="shared" si="73"/>
        <v>0</v>
      </c>
      <c r="AT480">
        <f t="shared" si="74"/>
        <v>0</v>
      </c>
      <c r="AU480">
        <f t="shared" si="75"/>
        <v>0</v>
      </c>
      <c r="AV480">
        <f t="shared" si="76"/>
        <v>0</v>
      </c>
      <c r="AW480">
        <f t="shared" si="77"/>
        <v>0</v>
      </c>
      <c r="AX480">
        <f t="shared" si="78"/>
        <v>0</v>
      </c>
      <c r="AY480">
        <f t="shared" si="79"/>
        <v>0</v>
      </c>
    </row>
    <row r="481" spans="38:51" x14ac:dyDescent="0.35">
      <c r="AL481" s="19" t="s">
        <v>349</v>
      </c>
      <c r="AM481">
        <f t="shared" si="67"/>
        <v>0</v>
      </c>
      <c r="AN481">
        <f t="shared" si="68"/>
        <v>0</v>
      </c>
      <c r="AO481">
        <f t="shared" si="69"/>
        <v>0</v>
      </c>
      <c r="AP481">
        <f t="shared" si="70"/>
        <v>0</v>
      </c>
      <c r="AQ481">
        <f t="shared" si="71"/>
        <v>0</v>
      </c>
      <c r="AR481">
        <f t="shared" si="72"/>
        <v>0</v>
      </c>
      <c r="AS481">
        <f t="shared" si="73"/>
        <v>0</v>
      </c>
      <c r="AT481">
        <f t="shared" si="74"/>
        <v>0</v>
      </c>
      <c r="AU481">
        <f t="shared" si="75"/>
        <v>0</v>
      </c>
      <c r="AV481">
        <f t="shared" si="76"/>
        <v>0</v>
      </c>
      <c r="AW481">
        <f t="shared" si="77"/>
        <v>0</v>
      </c>
      <c r="AX481">
        <f t="shared" si="78"/>
        <v>0</v>
      </c>
      <c r="AY481">
        <f t="shared" si="79"/>
        <v>0</v>
      </c>
    </row>
    <row r="482" spans="38:51" x14ac:dyDescent="0.35">
      <c r="AL482" s="19" t="s">
        <v>350</v>
      </c>
      <c r="AM482">
        <f t="shared" si="67"/>
        <v>0</v>
      </c>
      <c r="AN482">
        <f t="shared" si="68"/>
        <v>0</v>
      </c>
      <c r="AO482">
        <f t="shared" si="69"/>
        <v>0</v>
      </c>
      <c r="AP482">
        <f t="shared" si="70"/>
        <v>0</v>
      </c>
      <c r="AQ482">
        <f t="shared" si="71"/>
        <v>0</v>
      </c>
      <c r="AR482">
        <f t="shared" si="72"/>
        <v>0</v>
      </c>
      <c r="AS482">
        <f t="shared" si="73"/>
        <v>0</v>
      </c>
      <c r="AT482">
        <f t="shared" si="74"/>
        <v>0</v>
      </c>
      <c r="AU482">
        <f t="shared" si="75"/>
        <v>0</v>
      </c>
      <c r="AV482">
        <f t="shared" si="76"/>
        <v>0</v>
      </c>
      <c r="AW482">
        <f t="shared" si="77"/>
        <v>0</v>
      </c>
      <c r="AX482">
        <f t="shared" si="78"/>
        <v>0</v>
      </c>
      <c r="AY482">
        <f t="shared" si="79"/>
        <v>0</v>
      </c>
    </row>
    <row r="483" spans="38:51" x14ac:dyDescent="0.35">
      <c r="AL483" s="19" t="s">
        <v>351</v>
      </c>
      <c r="AM483">
        <f t="shared" si="67"/>
        <v>0</v>
      </c>
      <c r="AN483">
        <f t="shared" si="68"/>
        <v>0</v>
      </c>
      <c r="AO483">
        <f t="shared" si="69"/>
        <v>0</v>
      </c>
      <c r="AP483">
        <f t="shared" si="70"/>
        <v>0</v>
      </c>
      <c r="AQ483">
        <f t="shared" si="71"/>
        <v>0</v>
      </c>
      <c r="AR483">
        <f t="shared" si="72"/>
        <v>0</v>
      </c>
      <c r="AS483">
        <f t="shared" si="73"/>
        <v>0</v>
      </c>
      <c r="AT483">
        <f t="shared" si="74"/>
        <v>0</v>
      </c>
      <c r="AU483">
        <f t="shared" si="75"/>
        <v>0</v>
      </c>
      <c r="AV483">
        <f t="shared" si="76"/>
        <v>0</v>
      </c>
      <c r="AW483">
        <f t="shared" si="77"/>
        <v>0</v>
      </c>
      <c r="AX483">
        <f t="shared" si="78"/>
        <v>0</v>
      </c>
      <c r="AY483">
        <f t="shared" si="79"/>
        <v>0</v>
      </c>
    </row>
    <row r="484" spans="38:51" x14ac:dyDescent="0.35">
      <c r="AL484" s="19" t="s">
        <v>352</v>
      </c>
      <c r="AM484">
        <f t="shared" si="67"/>
        <v>0</v>
      </c>
      <c r="AN484">
        <f t="shared" si="68"/>
        <v>0</v>
      </c>
      <c r="AO484">
        <f t="shared" si="69"/>
        <v>0</v>
      </c>
      <c r="AP484">
        <f t="shared" si="70"/>
        <v>0</v>
      </c>
      <c r="AQ484">
        <f t="shared" si="71"/>
        <v>0</v>
      </c>
      <c r="AR484">
        <f t="shared" si="72"/>
        <v>0</v>
      </c>
      <c r="AS484">
        <f t="shared" si="73"/>
        <v>0</v>
      </c>
      <c r="AT484">
        <f t="shared" si="74"/>
        <v>0</v>
      </c>
      <c r="AU484">
        <f t="shared" si="75"/>
        <v>0</v>
      </c>
      <c r="AV484">
        <f t="shared" si="76"/>
        <v>0</v>
      </c>
      <c r="AW484">
        <f t="shared" si="77"/>
        <v>0</v>
      </c>
      <c r="AX484">
        <f t="shared" si="78"/>
        <v>0</v>
      </c>
      <c r="AY484">
        <f t="shared" si="79"/>
        <v>0</v>
      </c>
    </row>
    <row r="485" spans="38:51" x14ac:dyDescent="0.35">
      <c r="AL485" s="19" t="s">
        <v>353</v>
      </c>
      <c r="AM485">
        <f t="shared" si="67"/>
        <v>0</v>
      </c>
      <c r="AN485">
        <f t="shared" si="68"/>
        <v>0</v>
      </c>
      <c r="AO485">
        <f t="shared" si="69"/>
        <v>0</v>
      </c>
      <c r="AP485">
        <f t="shared" si="70"/>
        <v>0</v>
      </c>
      <c r="AQ485">
        <f t="shared" si="71"/>
        <v>0</v>
      </c>
      <c r="AR485">
        <f t="shared" si="72"/>
        <v>0</v>
      </c>
      <c r="AS485">
        <f t="shared" si="73"/>
        <v>0</v>
      </c>
      <c r="AT485">
        <f t="shared" si="74"/>
        <v>0</v>
      </c>
      <c r="AU485">
        <f t="shared" si="75"/>
        <v>0</v>
      </c>
      <c r="AV485">
        <f t="shared" si="76"/>
        <v>0</v>
      </c>
      <c r="AW485">
        <f t="shared" si="77"/>
        <v>0</v>
      </c>
      <c r="AX485">
        <f t="shared" si="78"/>
        <v>0</v>
      </c>
      <c r="AY485">
        <f t="shared" si="79"/>
        <v>0</v>
      </c>
    </row>
    <row r="486" spans="38:51" x14ac:dyDescent="0.35">
      <c r="AL486" s="19" t="s">
        <v>354</v>
      </c>
      <c r="AM486">
        <f t="shared" si="67"/>
        <v>0</v>
      </c>
      <c r="AN486">
        <f t="shared" si="68"/>
        <v>0</v>
      </c>
      <c r="AO486">
        <f t="shared" si="69"/>
        <v>0</v>
      </c>
      <c r="AP486">
        <f t="shared" si="70"/>
        <v>0</v>
      </c>
      <c r="AQ486">
        <f t="shared" si="71"/>
        <v>0</v>
      </c>
      <c r="AR486">
        <f t="shared" si="72"/>
        <v>0</v>
      </c>
      <c r="AS486">
        <f t="shared" si="73"/>
        <v>0</v>
      </c>
      <c r="AT486">
        <f t="shared" si="74"/>
        <v>0</v>
      </c>
      <c r="AU486">
        <f t="shared" si="75"/>
        <v>0</v>
      </c>
      <c r="AV486">
        <f t="shared" si="76"/>
        <v>0</v>
      </c>
      <c r="AW486">
        <f t="shared" si="77"/>
        <v>0</v>
      </c>
      <c r="AX486">
        <f t="shared" si="78"/>
        <v>0</v>
      </c>
      <c r="AY486">
        <f t="shared" si="79"/>
        <v>0</v>
      </c>
    </row>
    <row r="487" spans="38:51" x14ac:dyDescent="0.35">
      <c r="AL487" s="19" t="s">
        <v>355</v>
      </c>
      <c r="AM487">
        <f t="shared" si="67"/>
        <v>0</v>
      </c>
      <c r="AN487">
        <f t="shared" si="68"/>
        <v>0</v>
      </c>
      <c r="AO487">
        <f t="shared" si="69"/>
        <v>0</v>
      </c>
      <c r="AP487">
        <f t="shared" si="70"/>
        <v>0</v>
      </c>
      <c r="AQ487">
        <f t="shared" si="71"/>
        <v>0</v>
      </c>
      <c r="AR487">
        <f t="shared" si="72"/>
        <v>0</v>
      </c>
      <c r="AS487">
        <f t="shared" si="73"/>
        <v>0</v>
      </c>
      <c r="AT487">
        <f t="shared" si="74"/>
        <v>0</v>
      </c>
      <c r="AU487">
        <f t="shared" si="75"/>
        <v>0</v>
      </c>
      <c r="AV487">
        <f t="shared" si="76"/>
        <v>0</v>
      </c>
      <c r="AW487">
        <f t="shared" si="77"/>
        <v>0</v>
      </c>
      <c r="AX487">
        <f t="shared" si="78"/>
        <v>0</v>
      </c>
      <c r="AY487">
        <f t="shared" si="79"/>
        <v>0</v>
      </c>
    </row>
    <row r="488" spans="38:51" x14ac:dyDescent="0.35">
      <c r="AL488" s="19" t="s">
        <v>356</v>
      </c>
      <c r="AM488">
        <f t="shared" si="67"/>
        <v>0</v>
      </c>
      <c r="AN488">
        <f t="shared" si="68"/>
        <v>0</v>
      </c>
      <c r="AO488">
        <f t="shared" si="69"/>
        <v>0</v>
      </c>
      <c r="AP488">
        <f t="shared" si="70"/>
        <v>0</v>
      </c>
      <c r="AQ488">
        <f t="shared" si="71"/>
        <v>0</v>
      </c>
      <c r="AR488">
        <f t="shared" si="72"/>
        <v>0</v>
      </c>
      <c r="AS488">
        <f t="shared" si="73"/>
        <v>0</v>
      </c>
      <c r="AT488">
        <f t="shared" si="74"/>
        <v>0</v>
      </c>
      <c r="AU488">
        <f t="shared" si="75"/>
        <v>0</v>
      </c>
      <c r="AV488">
        <f t="shared" si="76"/>
        <v>0</v>
      </c>
      <c r="AW488">
        <f t="shared" si="77"/>
        <v>0</v>
      </c>
      <c r="AX488">
        <f t="shared" si="78"/>
        <v>0</v>
      </c>
      <c r="AY488">
        <f t="shared" si="79"/>
        <v>0</v>
      </c>
    </row>
    <row r="489" spans="38:51" x14ac:dyDescent="0.35">
      <c r="AL489" s="19" t="s">
        <v>357</v>
      </c>
      <c r="AM489">
        <f t="shared" si="67"/>
        <v>0</v>
      </c>
      <c r="AN489">
        <f t="shared" si="68"/>
        <v>0</v>
      </c>
      <c r="AO489">
        <f t="shared" si="69"/>
        <v>0</v>
      </c>
      <c r="AP489">
        <f t="shared" si="70"/>
        <v>0</v>
      </c>
      <c r="AQ489">
        <f t="shared" si="71"/>
        <v>0</v>
      </c>
      <c r="AR489">
        <f t="shared" si="72"/>
        <v>0</v>
      </c>
      <c r="AS489">
        <f t="shared" si="73"/>
        <v>0</v>
      </c>
      <c r="AT489">
        <f t="shared" si="74"/>
        <v>0</v>
      </c>
      <c r="AU489">
        <f t="shared" si="75"/>
        <v>0</v>
      </c>
      <c r="AV489">
        <f t="shared" si="76"/>
        <v>0</v>
      </c>
      <c r="AW489">
        <f t="shared" si="77"/>
        <v>0</v>
      </c>
      <c r="AX489">
        <f t="shared" si="78"/>
        <v>0</v>
      </c>
      <c r="AY489">
        <f t="shared" si="79"/>
        <v>0</v>
      </c>
    </row>
    <row r="490" spans="38:51" x14ac:dyDescent="0.35">
      <c r="AL490" s="19" t="s">
        <v>358</v>
      </c>
      <c r="AM490">
        <f t="shared" si="67"/>
        <v>0</v>
      </c>
      <c r="AN490">
        <f t="shared" si="68"/>
        <v>0</v>
      </c>
      <c r="AO490">
        <f t="shared" si="69"/>
        <v>0</v>
      </c>
      <c r="AP490">
        <f t="shared" si="70"/>
        <v>0</v>
      </c>
      <c r="AQ490">
        <f t="shared" si="71"/>
        <v>0</v>
      </c>
      <c r="AR490">
        <f t="shared" si="72"/>
        <v>0</v>
      </c>
      <c r="AS490">
        <f t="shared" si="73"/>
        <v>0</v>
      </c>
      <c r="AT490">
        <f t="shared" si="74"/>
        <v>0</v>
      </c>
      <c r="AU490">
        <f t="shared" si="75"/>
        <v>0</v>
      </c>
      <c r="AV490">
        <f t="shared" si="76"/>
        <v>0</v>
      </c>
      <c r="AW490">
        <f t="shared" si="77"/>
        <v>0</v>
      </c>
      <c r="AX490">
        <f t="shared" si="78"/>
        <v>0</v>
      </c>
      <c r="AY490">
        <f t="shared" si="79"/>
        <v>0</v>
      </c>
    </row>
    <row r="491" spans="38:51" x14ac:dyDescent="0.35">
      <c r="AL491" s="19" t="s">
        <v>359</v>
      </c>
      <c r="AM491">
        <f t="shared" si="67"/>
        <v>0</v>
      </c>
      <c r="AN491">
        <f t="shared" si="68"/>
        <v>0</v>
      </c>
      <c r="AO491">
        <f t="shared" si="69"/>
        <v>0</v>
      </c>
      <c r="AP491">
        <f t="shared" si="70"/>
        <v>0</v>
      </c>
      <c r="AQ491">
        <f t="shared" si="71"/>
        <v>0</v>
      </c>
      <c r="AR491">
        <f t="shared" si="72"/>
        <v>0</v>
      </c>
      <c r="AS491">
        <f t="shared" si="73"/>
        <v>0</v>
      </c>
      <c r="AT491">
        <f t="shared" si="74"/>
        <v>0</v>
      </c>
      <c r="AU491">
        <f t="shared" si="75"/>
        <v>0</v>
      </c>
      <c r="AV491">
        <f t="shared" si="76"/>
        <v>0</v>
      </c>
      <c r="AW491">
        <f t="shared" si="77"/>
        <v>0</v>
      </c>
      <c r="AX491">
        <f t="shared" si="78"/>
        <v>0</v>
      </c>
      <c r="AY491">
        <f t="shared" si="79"/>
        <v>0</v>
      </c>
    </row>
    <row r="492" spans="38:51" x14ac:dyDescent="0.35">
      <c r="AL492" s="19" t="s">
        <v>360</v>
      </c>
      <c r="AM492">
        <f t="shared" si="67"/>
        <v>0</v>
      </c>
      <c r="AN492">
        <f t="shared" si="68"/>
        <v>0</v>
      </c>
      <c r="AO492">
        <f t="shared" si="69"/>
        <v>0</v>
      </c>
      <c r="AP492">
        <f t="shared" si="70"/>
        <v>1</v>
      </c>
      <c r="AQ492">
        <f t="shared" si="71"/>
        <v>0</v>
      </c>
      <c r="AR492">
        <f t="shared" si="72"/>
        <v>0</v>
      </c>
      <c r="AS492">
        <f t="shared" si="73"/>
        <v>0</v>
      </c>
      <c r="AT492">
        <f t="shared" si="74"/>
        <v>0</v>
      </c>
      <c r="AU492">
        <f t="shared" si="75"/>
        <v>0</v>
      </c>
      <c r="AV492">
        <f t="shared" si="76"/>
        <v>0</v>
      </c>
      <c r="AW492">
        <f t="shared" si="77"/>
        <v>0</v>
      </c>
      <c r="AX492">
        <f t="shared" si="78"/>
        <v>0</v>
      </c>
      <c r="AY492">
        <f t="shared" si="79"/>
        <v>0</v>
      </c>
    </row>
    <row r="493" spans="38:51" x14ac:dyDescent="0.35">
      <c r="AL493" s="19" t="s">
        <v>361</v>
      </c>
      <c r="AM493">
        <f t="shared" si="67"/>
        <v>0</v>
      </c>
      <c r="AN493">
        <f t="shared" si="68"/>
        <v>0</v>
      </c>
      <c r="AO493">
        <f t="shared" si="69"/>
        <v>0</v>
      </c>
      <c r="AP493">
        <f t="shared" si="70"/>
        <v>0</v>
      </c>
      <c r="AQ493">
        <f t="shared" si="71"/>
        <v>0</v>
      </c>
      <c r="AR493">
        <f t="shared" si="72"/>
        <v>0</v>
      </c>
      <c r="AS493">
        <f t="shared" si="73"/>
        <v>0</v>
      </c>
      <c r="AT493">
        <f t="shared" si="74"/>
        <v>0</v>
      </c>
      <c r="AU493">
        <f t="shared" si="75"/>
        <v>0</v>
      </c>
      <c r="AV493">
        <f t="shared" si="76"/>
        <v>0</v>
      </c>
      <c r="AW493">
        <f t="shared" si="77"/>
        <v>0</v>
      </c>
      <c r="AX493">
        <f t="shared" si="78"/>
        <v>0</v>
      </c>
      <c r="AY493">
        <f t="shared" si="79"/>
        <v>0</v>
      </c>
    </row>
    <row r="494" spans="38:51" x14ac:dyDescent="0.35">
      <c r="AL494" s="19" t="s">
        <v>362</v>
      </c>
      <c r="AM494">
        <f t="shared" si="67"/>
        <v>0</v>
      </c>
      <c r="AN494">
        <f t="shared" si="68"/>
        <v>0</v>
      </c>
      <c r="AO494">
        <f t="shared" si="69"/>
        <v>0</v>
      </c>
      <c r="AP494">
        <f t="shared" si="70"/>
        <v>0</v>
      </c>
      <c r="AQ494">
        <f t="shared" si="71"/>
        <v>0</v>
      </c>
      <c r="AR494">
        <f t="shared" si="72"/>
        <v>0</v>
      </c>
      <c r="AS494">
        <f t="shared" si="73"/>
        <v>0</v>
      </c>
      <c r="AT494">
        <f t="shared" si="74"/>
        <v>0</v>
      </c>
      <c r="AU494">
        <f t="shared" si="75"/>
        <v>0</v>
      </c>
      <c r="AV494">
        <f t="shared" si="76"/>
        <v>0</v>
      </c>
      <c r="AW494">
        <f t="shared" si="77"/>
        <v>0</v>
      </c>
      <c r="AX494">
        <f t="shared" si="78"/>
        <v>0</v>
      </c>
      <c r="AY494">
        <f t="shared" si="79"/>
        <v>0</v>
      </c>
    </row>
    <row r="495" spans="38:51" x14ac:dyDescent="0.35">
      <c r="AL495" s="19" t="s">
        <v>363</v>
      </c>
      <c r="AM495">
        <f t="shared" si="67"/>
        <v>0</v>
      </c>
      <c r="AN495">
        <f t="shared" si="68"/>
        <v>0</v>
      </c>
      <c r="AO495">
        <f t="shared" si="69"/>
        <v>0</v>
      </c>
      <c r="AP495">
        <f t="shared" si="70"/>
        <v>0</v>
      </c>
      <c r="AQ495">
        <f t="shared" si="71"/>
        <v>0</v>
      </c>
      <c r="AR495">
        <f t="shared" si="72"/>
        <v>0</v>
      </c>
      <c r="AS495">
        <f t="shared" si="73"/>
        <v>0</v>
      </c>
      <c r="AT495">
        <f t="shared" si="74"/>
        <v>0</v>
      </c>
      <c r="AU495">
        <f t="shared" si="75"/>
        <v>0</v>
      </c>
      <c r="AV495">
        <f t="shared" si="76"/>
        <v>0</v>
      </c>
      <c r="AW495">
        <f t="shared" si="77"/>
        <v>0</v>
      </c>
      <c r="AX495">
        <f t="shared" si="78"/>
        <v>0</v>
      </c>
      <c r="AY495">
        <f t="shared" si="79"/>
        <v>0</v>
      </c>
    </row>
    <row r="496" spans="38:51" x14ac:dyDescent="0.35">
      <c r="AL496" s="19" t="s">
        <v>364</v>
      </c>
      <c r="AM496">
        <f t="shared" si="67"/>
        <v>0</v>
      </c>
      <c r="AN496">
        <f t="shared" si="68"/>
        <v>0</v>
      </c>
      <c r="AO496">
        <f t="shared" si="69"/>
        <v>0</v>
      </c>
      <c r="AP496">
        <f t="shared" si="70"/>
        <v>0</v>
      </c>
      <c r="AQ496">
        <f t="shared" si="71"/>
        <v>0</v>
      </c>
      <c r="AR496">
        <f t="shared" si="72"/>
        <v>0</v>
      </c>
      <c r="AS496">
        <f t="shared" si="73"/>
        <v>0</v>
      </c>
      <c r="AT496">
        <f t="shared" si="74"/>
        <v>0</v>
      </c>
      <c r="AU496">
        <f t="shared" si="75"/>
        <v>0</v>
      </c>
      <c r="AV496">
        <f t="shared" si="76"/>
        <v>0</v>
      </c>
      <c r="AW496">
        <f t="shared" si="77"/>
        <v>0</v>
      </c>
      <c r="AX496">
        <f t="shared" si="78"/>
        <v>0</v>
      </c>
      <c r="AY496">
        <f t="shared" si="79"/>
        <v>0</v>
      </c>
    </row>
    <row r="497" spans="38:51" x14ac:dyDescent="0.35">
      <c r="AL497" s="19" t="s">
        <v>365</v>
      </c>
      <c r="AM497">
        <f t="shared" si="67"/>
        <v>0</v>
      </c>
      <c r="AN497">
        <f t="shared" si="68"/>
        <v>0</v>
      </c>
      <c r="AO497">
        <f t="shared" si="69"/>
        <v>0</v>
      </c>
      <c r="AP497">
        <f t="shared" si="70"/>
        <v>0</v>
      </c>
      <c r="AQ497">
        <f t="shared" si="71"/>
        <v>0</v>
      </c>
      <c r="AR497">
        <f t="shared" si="72"/>
        <v>0</v>
      </c>
      <c r="AS497">
        <f t="shared" si="73"/>
        <v>0</v>
      </c>
      <c r="AT497">
        <f t="shared" si="74"/>
        <v>0</v>
      </c>
      <c r="AU497">
        <f t="shared" si="75"/>
        <v>0</v>
      </c>
      <c r="AV497">
        <f t="shared" si="76"/>
        <v>0</v>
      </c>
      <c r="AW497">
        <f t="shared" si="77"/>
        <v>0</v>
      </c>
      <c r="AX497">
        <f t="shared" si="78"/>
        <v>0</v>
      </c>
      <c r="AY497">
        <f t="shared" si="79"/>
        <v>0</v>
      </c>
    </row>
    <row r="498" spans="38:51" x14ac:dyDescent="0.35">
      <c r="AL498" s="19" t="s">
        <v>366</v>
      </c>
      <c r="AM498">
        <f t="shared" ref="AM498:AM559" si="80">COUNTIF($AM73:$AS73,"&gt;=100%")</f>
        <v>0</v>
      </c>
      <c r="AN498">
        <f t="shared" ref="AN498:AN559" si="81">COUNTIF($AU73:$BA73,"&gt;=100%")</f>
        <v>0</v>
      </c>
      <c r="AO498">
        <f t="shared" ref="AO498:AO559" si="82">COUNTIF($BC73:$BI73,"&gt;=100%")</f>
        <v>0</v>
      </c>
      <c r="AP498">
        <f t="shared" ref="AP498:AP559" si="83">COUNTIF($BK73:$BQ73,"&gt;=100%")</f>
        <v>0</v>
      </c>
      <c r="AQ498">
        <f t="shared" ref="AQ498:AQ559" si="84">COUNTIF($BS73:$BY73,"&gt;=100%")</f>
        <v>0</v>
      </c>
      <c r="AR498">
        <f t="shared" ref="AR498:AR559" si="85">COUNTIF($CA73:$CG73,"&gt;=100%")</f>
        <v>0</v>
      </c>
      <c r="AS498">
        <f t="shared" ref="AS498:AS559" si="86">COUNTIF($CI73:$CO73,"&gt;=100%")</f>
        <v>0</v>
      </c>
      <c r="AT498">
        <f t="shared" ref="AT498:AT559" si="87">COUNTIF($CQ73:$CW73,"&gt;=100%")</f>
        <v>0</v>
      </c>
      <c r="AU498">
        <f t="shared" ref="AU498:AU559" si="88">COUNTIF($CY73:$DE73,"&gt;=100%")</f>
        <v>0</v>
      </c>
      <c r="AV498">
        <f t="shared" ref="AV498:AV559" si="89">COUNTIF($DG73:$DM73,"&gt;=100%")</f>
        <v>0</v>
      </c>
      <c r="AW498">
        <f t="shared" ref="AW498:AW559" si="90">COUNTIF($DO73:$DU73,"&gt;=100%")</f>
        <v>0</v>
      </c>
      <c r="AX498">
        <f t="shared" ref="AX498:AX559" si="91">COUNTIF($DW73:$EC73,"&gt;=100%")</f>
        <v>0</v>
      </c>
      <c r="AY498">
        <f t="shared" ref="AY498:AY559" si="92">COUNTIF($EE73:$EK73,"&gt;=100%")</f>
        <v>0</v>
      </c>
    </row>
    <row r="499" spans="38:51" x14ac:dyDescent="0.35">
      <c r="AL499" s="19" t="s">
        <v>367</v>
      </c>
      <c r="AM499">
        <f t="shared" si="80"/>
        <v>0</v>
      </c>
      <c r="AN499">
        <f t="shared" si="81"/>
        <v>0</v>
      </c>
      <c r="AO499">
        <f t="shared" si="82"/>
        <v>0</v>
      </c>
      <c r="AP499">
        <f t="shared" si="83"/>
        <v>0</v>
      </c>
      <c r="AQ499">
        <f t="shared" si="84"/>
        <v>0</v>
      </c>
      <c r="AR499">
        <f t="shared" si="85"/>
        <v>0</v>
      </c>
      <c r="AS499">
        <f t="shared" si="86"/>
        <v>0</v>
      </c>
      <c r="AT499">
        <f t="shared" si="87"/>
        <v>0</v>
      </c>
      <c r="AU499">
        <f t="shared" si="88"/>
        <v>0</v>
      </c>
      <c r="AV499">
        <f t="shared" si="89"/>
        <v>0</v>
      </c>
      <c r="AW499">
        <f t="shared" si="90"/>
        <v>0</v>
      </c>
      <c r="AX499">
        <f t="shared" si="91"/>
        <v>0</v>
      </c>
      <c r="AY499">
        <f t="shared" si="92"/>
        <v>0</v>
      </c>
    </row>
    <row r="500" spans="38:51" x14ac:dyDescent="0.35">
      <c r="AL500" s="19" t="s">
        <v>368</v>
      </c>
      <c r="AM500">
        <f t="shared" si="80"/>
        <v>0</v>
      </c>
      <c r="AN500">
        <f t="shared" si="81"/>
        <v>0</v>
      </c>
      <c r="AO500">
        <f t="shared" si="82"/>
        <v>0</v>
      </c>
      <c r="AP500">
        <f t="shared" si="83"/>
        <v>0</v>
      </c>
      <c r="AQ500">
        <f t="shared" si="84"/>
        <v>0</v>
      </c>
      <c r="AR500">
        <f t="shared" si="85"/>
        <v>0</v>
      </c>
      <c r="AS500">
        <f t="shared" si="86"/>
        <v>0</v>
      </c>
      <c r="AT500">
        <f t="shared" si="87"/>
        <v>0</v>
      </c>
      <c r="AU500">
        <f t="shared" si="88"/>
        <v>0</v>
      </c>
      <c r="AV500">
        <f t="shared" si="89"/>
        <v>0</v>
      </c>
      <c r="AW500">
        <f t="shared" si="90"/>
        <v>0</v>
      </c>
      <c r="AX500">
        <f t="shared" si="91"/>
        <v>0</v>
      </c>
      <c r="AY500">
        <f t="shared" si="92"/>
        <v>0</v>
      </c>
    </row>
    <row r="501" spans="38:51" x14ac:dyDescent="0.35">
      <c r="AL501" s="19" t="s">
        <v>369</v>
      </c>
      <c r="AM501">
        <f t="shared" si="80"/>
        <v>0</v>
      </c>
      <c r="AN501">
        <f t="shared" si="81"/>
        <v>0</v>
      </c>
      <c r="AO501">
        <f t="shared" si="82"/>
        <v>0</v>
      </c>
      <c r="AP501">
        <f t="shared" si="83"/>
        <v>0</v>
      </c>
      <c r="AQ501">
        <f t="shared" si="84"/>
        <v>0</v>
      </c>
      <c r="AR501">
        <f t="shared" si="85"/>
        <v>0</v>
      </c>
      <c r="AS501">
        <f t="shared" si="86"/>
        <v>0</v>
      </c>
      <c r="AT501">
        <f t="shared" si="87"/>
        <v>0</v>
      </c>
      <c r="AU501">
        <f t="shared" si="88"/>
        <v>0</v>
      </c>
      <c r="AV501">
        <f t="shared" si="89"/>
        <v>0</v>
      </c>
      <c r="AW501">
        <f t="shared" si="90"/>
        <v>0</v>
      </c>
      <c r="AX501">
        <f t="shared" si="91"/>
        <v>0</v>
      </c>
      <c r="AY501">
        <f t="shared" si="92"/>
        <v>0</v>
      </c>
    </row>
    <row r="502" spans="38:51" x14ac:dyDescent="0.35">
      <c r="AL502" s="19" t="s">
        <v>370</v>
      </c>
      <c r="AM502">
        <f t="shared" si="80"/>
        <v>0</v>
      </c>
      <c r="AN502">
        <f t="shared" si="81"/>
        <v>0</v>
      </c>
      <c r="AO502">
        <f t="shared" si="82"/>
        <v>0</v>
      </c>
      <c r="AP502">
        <f t="shared" si="83"/>
        <v>0</v>
      </c>
      <c r="AQ502">
        <f t="shared" si="84"/>
        <v>0</v>
      </c>
      <c r="AR502">
        <f t="shared" si="85"/>
        <v>0</v>
      </c>
      <c r="AS502">
        <f t="shared" si="86"/>
        <v>0</v>
      </c>
      <c r="AT502">
        <f t="shared" si="87"/>
        <v>0</v>
      </c>
      <c r="AU502">
        <f t="shared" si="88"/>
        <v>0</v>
      </c>
      <c r="AV502">
        <f t="shared" si="89"/>
        <v>0</v>
      </c>
      <c r="AW502">
        <f t="shared" si="90"/>
        <v>0</v>
      </c>
      <c r="AX502">
        <f t="shared" si="91"/>
        <v>0</v>
      </c>
      <c r="AY502">
        <f t="shared" si="92"/>
        <v>0</v>
      </c>
    </row>
    <row r="503" spans="38:51" x14ac:dyDescent="0.35">
      <c r="AL503" s="19" t="s">
        <v>371</v>
      </c>
      <c r="AM503">
        <f t="shared" si="80"/>
        <v>0</v>
      </c>
      <c r="AN503">
        <f t="shared" si="81"/>
        <v>0</v>
      </c>
      <c r="AO503">
        <f t="shared" si="82"/>
        <v>0</v>
      </c>
      <c r="AP503">
        <f t="shared" si="83"/>
        <v>0</v>
      </c>
      <c r="AQ503">
        <f t="shared" si="84"/>
        <v>0</v>
      </c>
      <c r="AR503">
        <f t="shared" si="85"/>
        <v>0</v>
      </c>
      <c r="AS503">
        <f t="shared" si="86"/>
        <v>0</v>
      </c>
      <c r="AT503">
        <f t="shared" si="87"/>
        <v>0</v>
      </c>
      <c r="AU503">
        <f t="shared" si="88"/>
        <v>0</v>
      </c>
      <c r="AV503">
        <f t="shared" si="89"/>
        <v>0</v>
      </c>
      <c r="AW503">
        <f t="shared" si="90"/>
        <v>0</v>
      </c>
      <c r="AX503">
        <f t="shared" si="91"/>
        <v>0</v>
      </c>
      <c r="AY503">
        <f t="shared" si="92"/>
        <v>0</v>
      </c>
    </row>
    <row r="504" spans="38:51" x14ac:dyDescent="0.35">
      <c r="AL504" s="19" t="s">
        <v>372</v>
      </c>
      <c r="AM504">
        <f t="shared" si="80"/>
        <v>0</v>
      </c>
      <c r="AN504">
        <f t="shared" si="81"/>
        <v>0</v>
      </c>
      <c r="AO504">
        <f t="shared" si="82"/>
        <v>0</v>
      </c>
      <c r="AP504">
        <f t="shared" si="83"/>
        <v>0</v>
      </c>
      <c r="AQ504">
        <f t="shared" si="84"/>
        <v>0</v>
      </c>
      <c r="AR504">
        <f t="shared" si="85"/>
        <v>0</v>
      </c>
      <c r="AS504">
        <f t="shared" si="86"/>
        <v>0</v>
      </c>
      <c r="AT504">
        <f t="shared" si="87"/>
        <v>0</v>
      </c>
      <c r="AU504">
        <f t="shared" si="88"/>
        <v>0</v>
      </c>
      <c r="AV504">
        <f t="shared" si="89"/>
        <v>0</v>
      </c>
      <c r="AW504">
        <f t="shared" si="90"/>
        <v>0</v>
      </c>
      <c r="AX504">
        <f t="shared" si="91"/>
        <v>0</v>
      </c>
      <c r="AY504">
        <f t="shared" si="92"/>
        <v>0</v>
      </c>
    </row>
    <row r="505" spans="38:51" x14ac:dyDescent="0.35">
      <c r="AL505" s="19" t="s">
        <v>373</v>
      </c>
      <c r="AM505">
        <f t="shared" si="80"/>
        <v>0</v>
      </c>
      <c r="AN505">
        <f t="shared" si="81"/>
        <v>0</v>
      </c>
      <c r="AO505">
        <f t="shared" si="82"/>
        <v>0</v>
      </c>
      <c r="AP505">
        <f t="shared" si="83"/>
        <v>0</v>
      </c>
      <c r="AQ505">
        <f t="shared" si="84"/>
        <v>0</v>
      </c>
      <c r="AR505">
        <f t="shared" si="85"/>
        <v>0</v>
      </c>
      <c r="AS505">
        <f t="shared" si="86"/>
        <v>0</v>
      </c>
      <c r="AT505">
        <f t="shared" si="87"/>
        <v>0</v>
      </c>
      <c r="AU505">
        <f t="shared" si="88"/>
        <v>0</v>
      </c>
      <c r="AV505">
        <f t="shared" si="89"/>
        <v>0</v>
      </c>
      <c r="AW505">
        <f t="shared" si="90"/>
        <v>0</v>
      </c>
      <c r="AX505">
        <f t="shared" si="91"/>
        <v>0</v>
      </c>
      <c r="AY505">
        <f t="shared" si="92"/>
        <v>0</v>
      </c>
    </row>
    <row r="506" spans="38:51" x14ac:dyDescent="0.35">
      <c r="AL506" s="19" t="s">
        <v>374</v>
      </c>
      <c r="AM506">
        <f t="shared" si="80"/>
        <v>0</v>
      </c>
      <c r="AN506">
        <f t="shared" si="81"/>
        <v>0</v>
      </c>
      <c r="AO506">
        <f t="shared" si="82"/>
        <v>0</v>
      </c>
      <c r="AP506">
        <f t="shared" si="83"/>
        <v>0</v>
      </c>
      <c r="AQ506">
        <f t="shared" si="84"/>
        <v>0</v>
      </c>
      <c r="AR506">
        <f t="shared" si="85"/>
        <v>0</v>
      </c>
      <c r="AS506">
        <f t="shared" si="86"/>
        <v>0</v>
      </c>
      <c r="AT506">
        <f t="shared" si="87"/>
        <v>0</v>
      </c>
      <c r="AU506">
        <f t="shared" si="88"/>
        <v>0</v>
      </c>
      <c r="AV506">
        <f t="shared" si="89"/>
        <v>0</v>
      </c>
      <c r="AW506">
        <f t="shared" si="90"/>
        <v>0</v>
      </c>
      <c r="AX506">
        <f t="shared" si="91"/>
        <v>0</v>
      </c>
      <c r="AY506">
        <f t="shared" si="92"/>
        <v>0</v>
      </c>
    </row>
    <row r="507" spans="38:51" x14ac:dyDescent="0.35">
      <c r="AL507" s="19" t="s">
        <v>375</v>
      </c>
      <c r="AM507">
        <f t="shared" si="80"/>
        <v>0</v>
      </c>
      <c r="AN507">
        <f t="shared" si="81"/>
        <v>0</v>
      </c>
      <c r="AO507">
        <f t="shared" si="82"/>
        <v>0</v>
      </c>
      <c r="AP507">
        <f t="shared" si="83"/>
        <v>0</v>
      </c>
      <c r="AQ507">
        <f t="shared" si="84"/>
        <v>0</v>
      </c>
      <c r="AR507">
        <f t="shared" si="85"/>
        <v>0</v>
      </c>
      <c r="AS507">
        <f t="shared" si="86"/>
        <v>0</v>
      </c>
      <c r="AT507">
        <f t="shared" si="87"/>
        <v>0</v>
      </c>
      <c r="AU507">
        <f t="shared" si="88"/>
        <v>0</v>
      </c>
      <c r="AV507">
        <f t="shared" si="89"/>
        <v>0</v>
      </c>
      <c r="AW507">
        <f t="shared" si="90"/>
        <v>0</v>
      </c>
      <c r="AX507">
        <f t="shared" si="91"/>
        <v>0</v>
      </c>
      <c r="AY507">
        <f t="shared" si="92"/>
        <v>0</v>
      </c>
    </row>
    <row r="508" spans="38:51" x14ac:dyDescent="0.35">
      <c r="AL508" s="19" t="s">
        <v>376</v>
      </c>
      <c r="AM508">
        <f t="shared" si="80"/>
        <v>0</v>
      </c>
      <c r="AN508">
        <f t="shared" si="81"/>
        <v>0</v>
      </c>
      <c r="AO508">
        <f t="shared" si="82"/>
        <v>0</v>
      </c>
      <c r="AP508">
        <f t="shared" si="83"/>
        <v>0</v>
      </c>
      <c r="AQ508">
        <f t="shared" si="84"/>
        <v>0</v>
      </c>
      <c r="AR508">
        <f t="shared" si="85"/>
        <v>0</v>
      </c>
      <c r="AS508">
        <f t="shared" si="86"/>
        <v>0</v>
      </c>
      <c r="AT508">
        <f t="shared" si="87"/>
        <v>0</v>
      </c>
      <c r="AU508">
        <f t="shared" si="88"/>
        <v>0</v>
      </c>
      <c r="AV508">
        <f t="shared" si="89"/>
        <v>0</v>
      </c>
      <c r="AW508">
        <f t="shared" si="90"/>
        <v>0</v>
      </c>
      <c r="AX508">
        <f t="shared" si="91"/>
        <v>0</v>
      </c>
      <c r="AY508">
        <f t="shared" si="92"/>
        <v>0</v>
      </c>
    </row>
    <row r="509" spans="38:51" x14ac:dyDescent="0.35">
      <c r="AL509" s="19" t="s">
        <v>377</v>
      </c>
      <c r="AM509">
        <f t="shared" si="80"/>
        <v>0</v>
      </c>
      <c r="AN509">
        <f t="shared" si="81"/>
        <v>0</v>
      </c>
      <c r="AO509">
        <f t="shared" si="82"/>
        <v>0</v>
      </c>
      <c r="AP509">
        <f t="shared" si="83"/>
        <v>0</v>
      </c>
      <c r="AQ509">
        <f t="shared" si="84"/>
        <v>0</v>
      </c>
      <c r="AR509">
        <f t="shared" si="85"/>
        <v>0</v>
      </c>
      <c r="AS509">
        <f t="shared" si="86"/>
        <v>0</v>
      </c>
      <c r="AT509">
        <f t="shared" si="87"/>
        <v>0</v>
      </c>
      <c r="AU509">
        <f t="shared" si="88"/>
        <v>0</v>
      </c>
      <c r="AV509">
        <f t="shared" si="89"/>
        <v>0</v>
      </c>
      <c r="AW509">
        <f t="shared" si="90"/>
        <v>0</v>
      </c>
      <c r="AX509">
        <f t="shared" si="91"/>
        <v>0</v>
      </c>
      <c r="AY509">
        <f t="shared" si="92"/>
        <v>0</v>
      </c>
    </row>
    <row r="510" spans="38:51" x14ac:dyDescent="0.35">
      <c r="AL510" s="19" t="s">
        <v>378</v>
      </c>
      <c r="AM510">
        <f t="shared" si="80"/>
        <v>0</v>
      </c>
      <c r="AN510">
        <f t="shared" si="81"/>
        <v>0</v>
      </c>
      <c r="AO510">
        <f t="shared" si="82"/>
        <v>0</v>
      </c>
      <c r="AP510">
        <f t="shared" si="83"/>
        <v>0</v>
      </c>
      <c r="AQ510">
        <f t="shared" si="84"/>
        <v>0</v>
      </c>
      <c r="AR510">
        <f t="shared" si="85"/>
        <v>0</v>
      </c>
      <c r="AS510">
        <f t="shared" si="86"/>
        <v>0</v>
      </c>
      <c r="AT510">
        <f t="shared" si="87"/>
        <v>0</v>
      </c>
      <c r="AU510">
        <f t="shared" si="88"/>
        <v>0</v>
      </c>
      <c r="AV510">
        <f t="shared" si="89"/>
        <v>0</v>
      </c>
      <c r="AW510">
        <f t="shared" si="90"/>
        <v>0</v>
      </c>
      <c r="AX510">
        <f t="shared" si="91"/>
        <v>0</v>
      </c>
      <c r="AY510">
        <f t="shared" si="92"/>
        <v>0</v>
      </c>
    </row>
    <row r="511" spans="38:51" x14ac:dyDescent="0.35">
      <c r="AL511" s="19" t="s">
        <v>379</v>
      </c>
      <c r="AM511">
        <f t="shared" si="80"/>
        <v>0</v>
      </c>
      <c r="AN511">
        <f t="shared" si="81"/>
        <v>0</v>
      </c>
      <c r="AO511">
        <f t="shared" si="82"/>
        <v>0</v>
      </c>
      <c r="AP511">
        <f t="shared" si="83"/>
        <v>0</v>
      </c>
      <c r="AQ511">
        <f t="shared" si="84"/>
        <v>0</v>
      </c>
      <c r="AR511">
        <f t="shared" si="85"/>
        <v>0</v>
      </c>
      <c r="AS511">
        <f t="shared" si="86"/>
        <v>0</v>
      </c>
      <c r="AT511">
        <f t="shared" si="87"/>
        <v>0</v>
      </c>
      <c r="AU511">
        <f t="shared" si="88"/>
        <v>0</v>
      </c>
      <c r="AV511">
        <f t="shared" si="89"/>
        <v>0</v>
      </c>
      <c r="AW511">
        <f t="shared" si="90"/>
        <v>0</v>
      </c>
      <c r="AX511">
        <f t="shared" si="91"/>
        <v>0</v>
      </c>
      <c r="AY511">
        <f t="shared" si="92"/>
        <v>0</v>
      </c>
    </row>
    <row r="512" spans="38:51" x14ac:dyDescent="0.35">
      <c r="AL512" s="19" t="s">
        <v>380</v>
      </c>
      <c r="AM512">
        <f t="shared" si="80"/>
        <v>0</v>
      </c>
      <c r="AN512">
        <f t="shared" si="81"/>
        <v>0</v>
      </c>
      <c r="AO512">
        <f t="shared" si="82"/>
        <v>0</v>
      </c>
      <c r="AP512">
        <f t="shared" si="83"/>
        <v>0</v>
      </c>
      <c r="AQ512">
        <f t="shared" si="84"/>
        <v>0</v>
      </c>
      <c r="AR512">
        <f t="shared" si="85"/>
        <v>0</v>
      </c>
      <c r="AS512">
        <f t="shared" si="86"/>
        <v>0</v>
      </c>
      <c r="AT512">
        <f t="shared" si="87"/>
        <v>0</v>
      </c>
      <c r="AU512">
        <f t="shared" si="88"/>
        <v>0</v>
      </c>
      <c r="AV512">
        <f t="shared" si="89"/>
        <v>0</v>
      </c>
      <c r="AW512">
        <f t="shared" si="90"/>
        <v>0</v>
      </c>
      <c r="AX512">
        <f t="shared" si="91"/>
        <v>0</v>
      </c>
      <c r="AY512">
        <f t="shared" si="92"/>
        <v>0</v>
      </c>
    </row>
    <row r="513" spans="38:51" x14ac:dyDescent="0.35">
      <c r="AL513" s="19" t="s">
        <v>381</v>
      </c>
      <c r="AM513">
        <f t="shared" si="80"/>
        <v>0</v>
      </c>
      <c r="AN513">
        <f t="shared" si="81"/>
        <v>0</v>
      </c>
      <c r="AO513">
        <f t="shared" si="82"/>
        <v>0</v>
      </c>
      <c r="AP513">
        <f t="shared" si="83"/>
        <v>0</v>
      </c>
      <c r="AQ513">
        <f t="shared" si="84"/>
        <v>0</v>
      </c>
      <c r="AR513">
        <f t="shared" si="85"/>
        <v>0</v>
      </c>
      <c r="AS513">
        <f t="shared" si="86"/>
        <v>0</v>
      </c>
      <c r="AT513">
        <f t="shared" si="87"/>
        <v>0</v>
      </c>
      <c r="AU513">
        <f t="shared" si="88"/>
        <v>0</v>
      </c>
      <c r="AV513">
        <f t="shared" si="89"/>
        <v>0</v>
      </c>
      <c r="AW513">
        <f t="shared" si="90"/>
        <v>0</v>
      </c>
      <c r="AX513">
        <f t="shared" si="91"/>
        <v>0</v>
      </c>
      <c r="AY513">
        <f t="shared" si="92"/>
        <v>0</v>
      </c>
    </row>
    <row r="514" spans="38:51" x14ac:dyDescent="0.35">
      <c r="AL514" s="19" t="s">
        <v>382</v>
      </c>
      <c r="AM514">
        <f t="shared" si="80"/>
        <v>0</v>
      </c>
      <c r="AN514">
        <f t="shared" si="81"/>
        <v>0</v>
      </c>
      <c r="AO514">
        <f t="shared" si="82"/>
        <v>0</v>
      </c>
      <c r="AP514">
        <f t="shared" si="83"/>
        <v>0</v>
      </c>
      <c r="AQ514">
        <f t="shared" si="84"/>
        <v>0</v>
      </c>
      <c r="AR514">
        <f t="shared" si="85"/>
        <v>0</v>
      </c>
      <c r="AS514">
        <f t="shared" si="86"/>
        <v>0</v>
      </c>
      <c r="AT514">
        <f t="shared" si="87"/>
        <v>0</v>
      </c>
      <c r="AU514">
        <f t="shared" si="88"/>
        <v>0</v>
      </c>
      <c r="AV514">
        <f t="shared" si="89"/>
        <v>0</v>
      </c>
      <c r="AW514">
        <f t="shared" si="90"/>
        <v>0</v>
      </c>
      <c r="AX514">
        <f t="shared" si="91"/>
        <v>0</v>
      </c>
      <c r="AY514">
        <f t="shared" si="92"/>
        <v>0</v>
      </c>
    </row>
    <row r="515" spans="38:51" x14ac:dyDescent="0.35">
      <c r="AL515" s="19" t="s">
        <v>383</v>
      </c>
      <c r="AM515">
        <f t="shared" si="80"/>
        <v>0</v>
      </c>
      <c r="AN515">
        <f t="shared" si="81"/>
        <v>0</v>
      </c>
      <c r="AO515">
        <f t="shared" si="82"/>
        <v>0</v>
      </c>
      <c r="AP515">
        <f t="shared" si="83"/>
        <v>0</v>
      </c>
      <c r="AQ515">
        <f t="shared" si="84"/>
        <v>0</v>
      </c>
      <c r="AR515">
        <f t="shared" si="85"/>
        <v>0</v>
      </c>
      <c r="AS515">
        <f t="shared" si="86"/>
        <v>0</v>
      </c>
      <c r="AT515">
        <f t="shared" si="87"/>
        <v>0</v>
      </c>
      <c r="AU515">
        <f t="shared" si="88"/>
        <v>0</v>
      </c>
      <c r="AV515">
        <f t="shared" si="89"/>
        <v>0</v>
      </c>
      <c r="AW515">
        <f t="shared" si="90"/>
        <v>0</v>
      </c>
      <c r="AX515">
        <f t="shared" si="91"/>
        <v>0</v>
      </c>
      <c r="AY515">
        <f t="shared" si="92"/>
        <v>0</v>
      </c>
    </row>
    <row r="516" spans="38:51" x14ac:dyDescent="0.35">
      <c r="AL516" s="19" t="s">
        <v>384</v>
      </c>
      <c r="AM516">
        <f t="shared" si="80"/>
        <v>0</v>
      </c>
      <c r="AN516">
        <f t="shared" si="81"/>
        <v>0</v>
      </c>
      <c r="AO516">
        <f t="shared" si="82"/>
        <v>0</v>
      </c>
      <c r="AP516">
        <f t="shared" si="83"/>
        <v>0</v>
      </c>
      <c r="AQ516">
        <f t="shared" si="84"/>
        <v>0</v>
      </c>
      <c r="AR516">
        <f t="shared" si="85"/>
        <v>0</v>
      </c>
      <c r="AS516">
        <f t="shared" si="86"/>
        <v>0</v>
      </c>
      <c r="AT516">
        <f t="shared" si="87"/>
        <v>0</v>
      </c>
      <c r="AU516">
        <f t="shared" si="88"/>
        <v>0</v>
      </c>
      <c r="AV516">
        <f t="shared" si="89"/>
        <v>0</v>
      </c>
      <c r="AW516">
        <f t="shared" si="90"/>
        <v>0</v>
      </c>
      <c r="AX516">
        <f t="shared" si="91"/>
        <v>0</v>
      </c>
      <c r="AY516">
        <f t="shared" si="92"/>
        <v>0</v>
      </c>
    </row>
    <row r="517" spans="38:51" x14ac:dyDescent="0.35">
      <c r="AL517" s="19" t="s">
        <v>385</v>
      </c>
      <c r="AM517">
        <f t="shared" si="80"/>
        <v>0</v>
      </c>
      <c r="AN517">
        <f t="shared" si="81"/>
        <v>0</v>
      </c>
      <c r="AO517">
        <f t="shared" si="82"/>
        <v>0</v>
      </c>
      <c r="AP517">
        <f t="shared" si="83"/>
        <v>0</v>
      </c>
      <c r="AQ517">
        <f t="shared" si="84"/>
        <v>0</v>
      </c>
      <c r="AR517">
        <f t="shared" si="85"/>
        <v>0</v>
      </c>
      <c r="AS517">
        <f t="shared" si="86"/>
        <v>0</v>
      </c>
      <c r="AT517">
        <f t="shared" si="87"/>
        <v>0</v>
      </c>
      <c r="AU517">
        <f t="shared" si="88"/>
        <v>0</v>
      </c>
      <c r="AV517">
        <f t="shared" si="89"/>
        <v>0</v>
      </c>
      <c r="AW517">
        <f t="shared" si="90"/>
        <v>0</v>
      </c>
      <c r="AX517">
        <f t="shared" si="91"/>
        <v>0</v>
      </c>
      <c r="AY517">
        <f t="shared" si="92"/>
        <v>0</v>
      </c>
    </row>
    <row r="518" spans="38:51" x14ac:dyDescent="0.35">
      <c r="AL518" s="19" t="s">
        <v>386</v>
      </c>
      <c r="AM518">
        <f t="shared" si="80"/>
        <v>0</v>
      </c>
      <c r="AN518">
        <f t="shared" si="81"/>
        <v>0</v>
      </c>
      <c r="AO518">
        <f t="shared" si="82"/>
        <v>0</v>
      </c>
      <c r="AP518">
        <f t="shared" si="83"/>
        <v>0</v>
      </c>
      <c r="AQ518">
        <f t="shared" si="84"/>
        <v>0</v>
      </c>
      <c r="AR518">
        <f t="shared" si="85"/>
        <v>0</v>
      </c>
      <c r="AS518">
        <f t="shared" si="86"/>
        <v>0</v>
      </c>
      <c r="AT518">
        <f t="shared" si="87"/>
        <v>0</v>
      </c>
      <c r="AU518">
        <f t="shared" si="88"/>
        <v>0</v>
      </c>
      <c r="AV518">
        <f t="shared" si="89"/>
        <v>0</v>
      </c>
      <c r="AW518">
        <f t="shared" si="90"/>
        <v>0</v>
      </c>
      <c r="AX518">
        <f t="shared" si="91"/>
        <v>0</v>
      </c>
      <c r="AY518">
        <f t="shared" si="92"/>
        <v>0</v>
      </c>
    </row>
    <row r="519" spans="38:51" x14ac:dyDescent="0.35">
      <c r="AL519" s="19" t="s">
        <v>387</v>
      </c>
      <c r="AM519">
        <f t="shared" si="80"/>
        <v>0</v>
      </c>
      <c r="AN519">
        <f t="shared" si="81"/>
        <v>0</v>
      </c>
      <c r="AO519">
        <f t="shared" si="82"/>
        <v>0</v>
      </c>
      <c r="AP519">
        <f t="shared" si="83"/>
        <v>0</v>
      </c>
      <c r="AQ519">
        <f t="shared" si="84"/>
        <v>0</v>
      </c>
      <c r="AR519">
        <f t="shared" si="85"/>
        <v>0</v>
      </c>
      <c r="AS519">
        <f t="shared" si="86"/>
        <v>0</v>
      </c>
      <c r="AT519">
        <f t="shared" si="87"/>
        <v>0</v>
      </c>
      <c r="AU519">
        <f t="shared" si="88"/>
        <v>0</v>
      </c>
      <c r="AV519">
        <f t="shared" si="89"/>
        <v>0</v>
      </c>
      <c r="AW519">
        <f t="shared" si="90"/>
        <v>0</v>
      </c>
      <c r="AX519">
        <f t="shared" si="91"/>
        <v>0</v>
      </c>
      <c r="AY519">
        <f t="shared" si="92"/>
        <v>0</v>
      </c>
    </row>
    <row r="520" spans="38:51" x14ac:dyDescent="0.35">
      <c r="AL520" s="19" t="s">
        <v>388</v>
      </c>
      <c r="AM520">
        <f t="shared" si="80"/>
        <v>0</v>
      </c>
      <c r="AN520">
        <f t="shared" si="81"/>
        <v>0</v>
      </c>
      <c r="AO520">
        <f t="shared" si="82"/>
        <v>0</v>
      </c>
      <c r="AP520">
        <f t="shared" si="83"/>
        <v>0</v>
      </c>
      <c r="AQ520">
        <f t="shared" si="84"/>
        <v>0</v>
      </c>
      <c r="AR520">
        <f t="shared" si="85"/>
        <v>0</v>
      </c>
      <c r="AS520">
        <f t="shared" si="86"/>
        <v>0</v>
      </c>
      <c r="AT520">
        <f t="shared" si="87"/>
        <v>0</v>
      </c>
      <c r="AU520">
        <f t="shared" si="88"/>
        <v>0</v>
      </c>
      <c r="AV520">
        <f t="shared" si="89"/>
        <v>0</v>
      </c>
      <c r="AW520">
        <f t="shared" si="90"/>
        <v>0</v>
      </c>
      <c r="AX520">
        <f t="shared" si="91"/>
        <v>0</v>
      </c>
      <c r="AY520">
        <f t="shared" si="92"/>
        <v>0</v>
      </c>
    </row>
    <row r="521" spans="38:51" x14ac:dyDescent="0.35">
      <c r="AL521" s="19" t="s">
        <v>389</v>
      </c>
      <c r="AM521">
        <f t="shared" si="80"/>
        <v>0</v>
      </c>
      <c r="AN521">
        <f t="shared" si="81"/>
        <v>0</v>
      </c>
      <c r="AO521">
        <f t="shared" si="82"/>
        <v>0</v>
      </c>
      <c r="AP521">
        <f t="shared" si="83"/>
        <v>0</v>
      </c>
      <c r="AQ521">
        <f t="shared" si="84"/>
        <v>0</v>
      </c>
      <c r="AR521">
        <f t="shared" si="85"/>
        <v>0</v>
      </c>
      <c r="AS521">
        <f t="shared" si="86"/>
        <v>0</v>
      </c>
      <c r="AT521">
        <f t="shared" si="87"/>
        <v>0</v>
      </c>
      <c r="AU521">
        <f t="shared" si="88"/>
        <v>0</v>
      </c>
      <c r="AV521">
        <f t="shared" si="89"/>
        <v>0</v>
      </c>
      <c r="AW521">
        <f t="shared" si="90"/>
        <v>0</v>
      </c>
      <c r="AX521">
        <f t="shared" si="91"/>
        <v>0</v>
      </c>
      <c r="AY521">
        <f t="shared" si="92"/>
        <v>0</v>
      </c>
    </row>
    <row r="522" spans="38:51" x14ac:dyDescent="0.35">
      <c r="AL522" s="19" t="s">
        <v>390</v>
      </c>
      <c r="AM522">
        <f t="shared" si="80"/>
        <v>0</v>
      </c>
      <c r="AN522">
        <f t="shared" si="81"/>
        <v>0</v>
      </c>
      <c r="AO522">
        <f t="shared" si="82"/>
        <v>1</v>
      </c>
      <c r="AP522">
        <f t="shared" si="83"/>
        <v>0</v>
      </c>
      <c r="AQ522">
        <f t="shared" si="84"/>
        <v>0</v>
      </c>
      <c r="AR522">
        <f t="shared" si="85"/>
        <v>0</v>
      </c>
      <c r="AS522">
        <f t="shared" si="86"/>
        <v>0</v>
      </c>
      <c r="AT522">
        <f t="shared" si="87"/>
        <v>0</v>
      </c>
      <c r="AU522">
        <f t="shared" si="88"/>
        <v>0</v>
      </c>
      <c r="AV522">
        <f t="shared" si="89"/>
        <v>0</v>
      </c>
      <c r="AW522">
        <f t="shared" si="90"/>
        <v>0</v>
      </c>
      <c r="AX522">
        <f t="shared" si="91"/>
        <v>0</v>
      </c>
      <c r="AY522">
        <f t="shared" si="92"/>
        <v>0</v>
      </c>
    </row>
    <row r="523" spans="38:51" x14ac:dyDescent="0.35">
      <c r="AL523" s="19" t="s">
        <v>391</v>
      </c>
      <c r="AM523">
        <f t="shared" si="80"/>
        <v>0</v>
      </c>
      <c r="AN523">
        <f t="shared" si="81"/>
        <v>0</v>
      </c>
      <c r="AO523">
        <f t="shared" si="82"/>
        <v>0</v>
      </c>
      <c r="AP523">
        <f t="shared" si="83"/>
        <v>0</v>
      </c>
      <c r="AQ523">
        <f t="shared" si="84"/>
        <v>0</v>
      </c>
      <c r="AR523">
        <f t="shared" si="85"/>
        <v>0</v>
      </c>
      <c r="AS523">
        <f t="shared" si="86"/>
        <v>0</v>
      </c>
      <c r="AT523">
        <f t="shared" si="87"/>
        <v>0</v>
      </c>
      <c r="AU523">
        <f t="shared" si="88"/>
        <v>0</v>
      </c>
      <c r="AV523">
        <f t="shared" si="89"/>
        <v>0</v>
      </c>
      <c r="AW523">
        <f t="shared" si="90"/>
        <v>0</v>
      </c>
      <c r="AX523">
        <f t="shared" si="91"/>
        <v>0</v>
      </c>
      <c r="AY523">
        <f t="shared" si="92"/>
        <v>0</v>
      </c>
    </row>
    <row r="524" spans="38:51" x14ac:dyDescent="0.35">
      <c r="AL524" s="19" t="s">
        <v>392</v>
      </c>
      <c r="AM524">
        <f t="shared" si="80"/>
        <v>0</v>
      </c>
      <c r="AN524">
        <f t="shared" si="81"/>
        <v>0</v>
      </c>
      <c r="AO524">
        <f t="shared" si="82"/>
        <v>0</v>
      </c>
      <c r="AP524">
        <f t="shared" si="83"/>
        <v>0</v>
      </c>
      <c r="AQ524">
        <f t="shared" si="84"/>
        <v>0</v>
      </c>
      <c r="AR524">
        <f t="shared" si="85"/>
        <v>0</v>
      </c>
      <c r="AS524">
        <f t="shared" si="86"/>
        <v>0</v>
      </c>
      <c r="AT524">
        <f t="shared" si="87"/>
        <v>0</v>
      </c>
      <c r="AU524">
        <f t="shared" si="88"/>
        <v>0</v>
      </c>
      <c r="AV524">
        <f t="shared" si="89"/>
        <v>0</v>
      </c>
      <c r="AW524">
        <f t="shared" si="90"/>
        <v>0</v>
      </c>
      <c r="AX524">
        <f t="shared" si="91"/>
        <v>0</v>
      </c>
      <c r="AY524">
        <f t="shared" si="92"/>
        <v>0</v>
      </c>
    </row>
    <row r="525" spans="38:51" x14ac:dyDescent="0.35">
      <c r="AL525" s="19" t="s">
        <v>393</v>
      </c>
      <c r="AM525">
        <f t="shared" si="80"/>
        <v>0</v>
      </c>
      <c r="AN525">
        <f t="shared" si="81"/>
        <v>0</v>
      </c>
      <c r="AO525">
        <f t="shared" si="82"/>
        <v>0</v>
      </c>
      <c r="AP525">
        <f t="shared" si="83"/>
        <v>0</v>
      </c>
      <c r="AQ525">
        <f t="shared" si="84"/>
        <v>0</v>
      </c>
      <c r="AR525">
        <f t="shared" si="85"/>
        <v>0</v>
      </c>
      <c r="AS525">
        <f t="shared" si="86"/>
        <v>0</v>
      </c>
      <c r="AT525">
        <f t="shared" si="87"/>
        <v>0</v>
      </c>
      <c r="AU525">
        <f t="shared" si="88"/>
        <v>0</v>
      </c>
      <c r="AV525">
        <f t="shared" si="89"/>
        <v>0</v>
      </c>
      <c r="AW525">
        <f t="shared" si="90"/>
        <v>0</v>
      </c>
      <c r="AX525">
        <f t="shared" si="91"/>
        <v>0</v>
      </c>
      <c r="AY525">
        <f t="shared" si="92"/>
        <v>0</v>
      </c>
    </row>
    <row r="526" spans="38:51" x14ac:dyDescent="0.35">
      <c r="AL526" s="19" t="s">
        <v>394</v>
      </c>
      <c r="AM526">
        <f t="shared" si="80"/>
        <v>0</v>
      </c>
      <c r="AN526">
        <f t="shared" si="81"/>
        <v>0</v>
      </c>
      <c r="AO526">
        <f t="shared" si="82"/>
        <v>0</v>
      </c>
      <c r="AP526">
        <f t="shared" si="83"/>
        <v>0</v>
      </c>
      <c r="AQ526">
        <f t="shared" si="84"/>
        <v>0</v>
      </c>
      <c r="AR526">
        <f t="shared" si="85"/>
        <v>0</v>
      </c>
      <c r="AS526">
        <f t="shared" si="86"/>
        <v>0</v>
      </c>
      <c r="AT526">
        <f t="shared" si="87"/>
        <v>0</v>
      </c>
      <c r="AU526">
        <f t="shared" si="88"/>
        <v>0</v>
      </c>
      <c r="AV526">
        <f t="shared" si="89"/>
        <v>0</v>
      </c>
      <c r="AW526">
        <f t="shared" si="90"/>
        <v>0</v>
      </c>
      <c r="AX526">
        <f t="shared" si="91"/>
        <v>0</v>
      </c>
      <c r="AY526">
        <f t="shared" si="92"/>
        <v>0</v>
      </c>
    </row>
    <row r="527" spans="38:51" x14ac:dyDescent="0.35">
      <c r="AL527" s="19" t="s">
        <v>395</v>
      </c>
      <c r="AM527">
        <f t="shared" si="80"/>
        <v>0</v>
      </c>
      <c r="AN527">
        <f t="shared" si="81"/>
        <v>0</v>
      </c>
      <c r="AO527">
        <f t="shared" si="82"/>
        <v>0</v>
      </c>
      <c r="AP527">
        <f t="shared" si="83"/>
        <v>0</v>
      </c>
      <c r="AQ527">
        <f t="shared" si="84"/>
        <v>0</v>
      </c>
      <c r="AR527">
        <f t="shared" si="85"/>
        <v>0</v>
      </c>
      <c r="AS527">
        <f t="shared" si="86"/>
        <v>0</v>
      </c>
      <c r="AT527">
        <f t="shared" si="87"/>
        <v>0</v>
      </c>
      <c r="AU527">
        <f t="shared" si="88"/>
        <v>0</v>
      </c>
      <c r="AV527">
        <f t="shared" si="89"/>
        <v>0</v>
      </c>
      <c r="AW527">
        <f t="shared" si="90"/>
        <v>0</v>
      </c>
      <c r="AX527">
        <f t="shared" si="91"/>
        <v>0</v>
      </c>
      <c r="AY527">
        <f t="shared" si="92"/>
        <v>0</v>
      </c>
    </row>
    <row r="528" spans="38:51" x14ac:dyDescent="0.35">
      <c r="AL528" s="19" t="s">
        <v>396</v>
      </c>
      <c r="AM528">
        <f t="shared" si="80"/>
        <v>0</v>
      </c>
      <c r="AN528">
        <f t="shared" si="81"/>
        <v>0</v>
      </c>
      <c r="AO528">
        <f t="shared" si="82"/>
        <v>0</v>
      </c>
      <c r="AP528">
        <f t="shared" si="83"/>
        <v>0</v>
      </c>
      <c r="AQ528">
        <f t="shared" si="84"/>
        <v>0</v>
      </c>
      <c r="AR528">
        <f t="shared" si="85"/>
        <v>0</v>
      </c>
      <c r="AS528">
        <f t="shared" si="86"/>
        <v>0</v>
      </c>
      <c r="AT528">
        <f t="shared" si="87"/>
        <v>0</v>
      </c>
      <c r="AU528">
        <f t="shared" si="88"/>
        <v>0</v>
      </c>
      <c r="AV528">
        <f t="shared" si="89"/>
        <v>0</v>
      </c>
      <c r="AW528">
        <f t="shared" si="90"/>
        <v>0</v>
      </c>
      <c r="AX528">
        <f t="shared" si="91"/>
        <v>0</v>
      </c>
      <c r="AY528">
        <f t="shared" si="92"/>
        <v>0</v>
      </c>
    </row>
    <row r="529" spans="38:51" x14ac:dyDescent="0.35">
      <c r="AL529" s="19" t="s">
        <v>397</v>
      </c>
      <c r="AM529">
        <f t="shared" si="80"/>
        <v>0</v>
      </c>
      <c r="AN529">
        <f t="shared" si="81"/>
        <v>0</v>
      </c>
      <c r="AO529">
        <f t="shared" si="82"/>
        <v>0</v>
      </c>
      <c r="AP529">
        <f t="shared" si="83"/>
        <v>0</v>
      </c>
      <c r="AQ529">
        <f t="shared" si="84"/>
        <v>0</v>
      </c>
      <c r="AR529">
        <f t="shared" si="85"/>
        <v>0</v>
      </c>
      <c r="AS529">
        <f t="shared" si="86"/>
        <v>0</v>
      </c>
      <c r="AT529">
        <f t="shared" si="87"/>
        <v>0</v>
      </c>
      <c r="AU529">
        <f t="shared" si="88"/>
        <v>0</v>
      </c>
      <c r="AV529">
        <f t="shared" si="89"/>
        <v>0</v>
      </c>
      <c r="AW529">
        <f t="shared" si="90"/>
        <v>0</v>
      </c>
      <c r="AX529">
        <f t="shared" si="91"/>
        <v>0</v>
      </c>
      <c r="AY529">
        <f t="shared" si="92"/>
        <v>0</v>
      </c>
    </row>
    <row r="530" spans="38:51" x14ac:dyDescent="0.35">
      <c r="AL530" s="19" t="s">
        <v>398</v>
      </c>
      <c r="AM530">
        <f t="shared" si="80"/>
        <v>0</v>
      </c>
      <c r="AN530">
        <f t="shared" si="81"/>
        <v>0</v>
      </c>
      <c r="AO530">
        <f t="shared" si="82"/>
        <v>0</v>
      </c>
      <c r="AP530">
        <f t="shared" si="83"/>
        <v>0</v>
      </c>
      <c r="AQ530">
        <f t="shared" si="84"/>
        <v>0</v>
      </c>
      <c r="AR530">
        <f t="shared" si="85"/>
        <v>0</v>
      </c>
      <c r="AS530">
        <f t="shared" si="86"/>
        <v>0</v>
      </c>
      <c r="AT530">
        <f t="shared" si="87"/>
        <v>0</v>
      </c>
      <c r="AU530">
        <f t="shared" si="88"/>
        <v>0</v>
      </c>
      <c r="AV530">
        <f t="shared" si="89"/>
        <v>0</v>
      </c>
      <c r="AW530">
        <f t="shared" si="90"/>
        <v>0</v>
      </c>
      <c r="AX530">
        <f t="shared" si="91"/>
        <v>0</v>
      </c>
      <c r="AY530">
        <f t="shared" si="92"/>
        <v>0</v>
      </c>
    </row>
    <row r="531" spans="38:51" x14ac:dyDescent="0.35">
      <c r="AL531" s="19" t="s">
        <v>399</v>
      </c>
      <c r="AM531">
        <f t="shared" si="80"/>
        <v>0</v>
      </c>
      <c r="AN531">
        <f t="shared" si="81"/>
        <v>0</v>
      </c>
      <c r="AO531">
        <f t="shared" si="82"/>
        <v>0</v>
      </c>
      <c r="AP531">
        <f t="shared" si="83"/>
        <v>0</v>
      </c>
      <c r="AQ531">
        <f t="shared" si="84"/>
        <v>0</v>
      </c>
      <c r="AR531">
        <f t="shared" si="85"/>
        <v>0</v>
      </c>
      <c r="AS531">
        <f t="shared" si="86"/>
        <v>0</v>
      </c>
      <c r="AT531">
        <f t="shared" si="87"/>
        <v>0</v>
      </c>
      <c r="AU531">
        <f t="shared" si="88"/>
        <v>0</v>
      </c>
      <c r="AV531">
        <f t="shared" si="89"/>
        <v>0</v>
      </c>
      <c r="AW531">
        <f t="shared" si="90"/>
        <v>0</v>
      </c>
      <c r="AX531">
        <f t="shared" si="91"/>
        <v>0</v>
      </c>
      <c r="AY531">
        <f t="shared" si="92"/>
        <v>0</v>
      </c>
    </row>
    <row r="532" spans="38:51" x14ac:dyDescent="0.35">
      <c r="AL532" s="19" t="s">
        <v>400</v>
      </c>
      <c r="AM532">
        <f t="shared" si="80"/>
        <v>0</v>
      </c>
      <c r="AN532">
        <f t="shared" si="81"/>
        <v>0</v>
      </c>
      <c r="AO532">
        <f t="shared" si="82"/>
        <v>0</v>
      </c>
      <c r="AP532">
        <f t="shared" si="83"/>
        <v>0</v>
      </c>
      <c r="AQ532">
        <f t="shared" si="84"/>
        <v>0</v>
      </c>
      <c r="AR532">
        <f t="shared" si="85"/>
        <v>0</v>
      </c>
      <c r="AS532">
        <f t="shared" si="86"/>
        <v>0</v>
      </c>
      <c r="AT532">
        <f t="shared" si="87"/>
        <v>0</v>
      </c>
      <c r="AU532">
        <f t="shared" si="88"/>
        <v>0</v>
      </c>
      <c r="AV532">
        <f t="shared" si="89"/>
        <v>0</v>
      </c>
      <c r="AW532">
        <f t="shared" si="90"/>
        <v>0</v>
      </c>
      <c r="AX532">
        <f t="shared" si="91"/>
        <v>0</v>
      </c>
      <c r="AY532">
        <f t="shared" si="92"/>
        <v>0</v>
      </c>
    </row>
    <row r="533" spans="38:51" x14ac:dyDescent="0.35">
      <c r="AL533" s="19" t="s">
        <v>401</v>
      </c>
      <c r="AM533">
        <f t="shared" si="80"/>
        <v>0</v>
      </c>
      <c r="AN533">
        <f t="shared" si="81"/>
        <v>0</v>
      </c>
      <c r="AO533">
        <f t="shared" si="82"/>
        <v>0</v>
      </c>
      <c r="AP533">
        <f t="shared" si="83"/>
        <v>0</v>
      </c>
      <c r="AQ533">
        <f t="shared" si="84"/>
        <v>0</v>
      </c>
      <c r="AR533">
        <f t="shared" si="85"/>
        <v>0</v>
      </c>
      <c r="AS533">
        <f t="shared" si="86"/>
        <v>0</v>
      </c>
      <c r="AT533">
        <f t="shared" si="87"/>
        <v>0</v>
      </c>
      <c r="AU533">
        <f t="shared" si="88"/>
        <v>0</v>
      </c>
      <c r="AV533">
        <f t="shared" si="89"/>
        <v>0</v>
      </c>
      <c r="AW533">
        <f t="shared" si="90"/>
        <v>0</v>
      </c>
      <c r="AX533">
        <f t="shared" si="91"/>
        <v>0</v>
      </c>
      <c r="AY533">
        <f t="shared" si="92"/>
        <v>0</v>
      </c>
    </row>
    <row r="534" spans="38:51" x14ac:dyDescent="0.35">
      <c r="AL534" s="19" t="s">
        <v>402</v>
      </c>
      <c r="AM534">
        <f t="shared" si="80"/>
        <v>0</v>
      </c>
      <c r="AN534">
        <f t="shared" si="81"/>
        <v>0</v>
      </c>
      <c r="AO534">
        <f t="shared" si="82"/>
        <v>0</v>
      </c>
      <c r="AP534">
        <f t="shared" si="83"/>
        <v>0</v>
      </c>
      <c r="AQ534">
        <f t="shared" si="84"/>
        <v>0</v>
      </c>
      <c r="AR534">
        <f t="shared" si="85"/>
        <v>0</v>
      </c>
      <c r="AS534">
        <f t="shared" si="86"/>
        <v>0</v>
      </c>
      <c r="AT534">
        <f t="shared" si="87"/>
        <v>0</v>
      </c>
      <c r="AU534">
        <f t="shared" si="88"/>
        <v>0</v>
      </c>
      <c r="AV534">
        <f t="shared" si="89"/>
        <v>0</v>
      </c>
      <c r="AW534">
        <f t="shared" si="90"/>
        <v>0</v>
      </c>
      <c r="AX534">
        <f t="shared" si="91"/>
        <v>0</v>
      </c>
      <c r="AY534">
        <f t="shared" si="92"/>
        <v>0</v>
      </c>
    </row>
    <row r="535" spans="38:51" x14ac:dyDescent="0.35">
      <c r="AL535" s="19" t="s">
        <v>403</v>
      </c>
      <c r="AM535">
        <f t="shared" si="80"/>
        <v>0</v>
      </c>
      <c r="AN535">
        <f t="shared" si="81"/>
        <v>0</v>
      </c>
      <c r="AO535">
        <f t="shared" si="82"/>
        <v>0</v>
      </c>
      <c r="AP535">
        <f t="shared" si="83"/>
        <v>0</v>
      </c>
      <c r="AQ535">
        <f t="shared" si="84"/>
        <v>0</v>
      </c>
      <c r="AR535">
        <f t="shared" si="85"/>
        <v>0</v>
      </c>
      <c r="AS535">
        <f t="shared" si="86"/>
        <v>0</v>
      </c>
      <c r="AT535">
        <f t="shared" si="87"/>
        <v>0</v>
      </c>
      <c r="AU535">
        <f t="shared" si="88"/>
        <v>0</v>
      </c>
      <c r="AV535">
        <f t="shared" si="89"/>
        <v>0</v>
      </c>
      <c r="AW535">
        <f t="shared" si="90"/>
        <v>0</v>
      </c>
      <c r="AX535">
        <f t="shared" si="91"/>
        <v>0</v>
      </c>
      <c r="AY535">
        <f t="shared" si="92"/>
        <v>0</v>
      </c>
    </row>
    <row r="536" spans="38:51" x14ac:dyDescent="0.35">
      <c r="AL536" s="19" t="s">
        <v>404</v>
      </c>
      <c r="AM536">
        <f t="shared" si="80"/>
        <v>0</v>
      </c>
      <c r="AN536">
        <f t="shared" si="81"/>
        <v>0</v>
      </c>
      <c r="AO536">
        <f t="shared" si="82"/>
        <v>0</v>
      </c>
      <c r="AP536">
        <f t="shared" si="83"/>
        <v>0</v>
      </c>
      <c r="AQ536">
        <f t="shared" si="84"/>
        <v>0</v>
      </c>
      <c r="AR536">
        <f t="shared" si="85"/>
        <v>0</v>
      </c>
      <c r="AS536">
        <f t="shared" si="86"/>
        <v>0</v>
      </c>
      <c r="AT536">
        <f t="shared" si="87"/>
        <v>0</v>
      </c>
      <c r="AU536">
        <f t="shared" si="88"/>
        <v>0</v>
      </c>
      <c r="AV536">
        <f t="shared" si="89"/>
        <v>0</v>
      </c>
      <c r="AW536">
        <f t="shared" si="90"/>
        <v>0</v>
      </c>
      <c r="AX536">
        <f t="shared" si="91"/>
        <v>0</v>
      </c>
      <c r="AY536">
        <f t="shared" si="92"/>
        <v>0</v>
      </c>
    </row>
    <row r="537" spans="38:51" x14ac:dyDescent="0.35">
      <c r="AL537" s="19" t="s">
        <v>405</v>
      </c>
      <c r="AM537">
        <f t="shared" si="80"/>
        <v>0</v>
      </c>
      <c r="AN537">
        <f t="shared" si="81"/>
        <v>0</v>
      </c>
      <c r="AO537">
        <f t="shared" si="82"/>
        <v>0</v>
      </c>
      <c r="AP537">
        <f t="shared" si="83"/>
        <v>0</v>
      </c>
      <c r="AQ537">
        <f t="shared" si="84"/>
        <v>0</v>
      </c>
      <c r="AR537">
        <f t="shared" si="85"/>
        <v>0</v>
      </c>
      <c r="AS537">
        <f t="shared" si="86"/>
        <v>0</v>
      </c>
      <c r="AT537">
        <f t="shared" si="87"/>
        <v>0</v>
      </c>
      <c r="AU537">
        <f t="shared" si="88"/>
        <v>0</v>
      </c>
      <c r="AV537">
        <f t="shared" si="89"/>
        <v>0</v>
      </c>
      <c r="AW537">
        <f t="shared" si="90"/>
        <v>0</v>
      </c>
      <c r="AX537">
        <f t="shared" si="91"/>
        <v>0</v>
      </c>
      <c r="AY537">
        <f t="shared" si="92"/>
        <v>0</v>
      </c>
    </row>
    <row r="538" spans="38:51" x14ac:dyDescent="0.35">
      <c r="AL538" s="19" t="s">
        <v>406</v>
      </c>
      <c r="AM538">
        <f t="shared" si="80"/>
        <v>0</v>
      </c>
      <c r="AN538">
        <f t="shared" si="81"/>
        <v>0</v>
      </c>
      <c r="AO538">
        <f t="shared" si="82"/>
        <v>0</v>
      </c>
      <c r="AP538">
        <f t="shared" si="83"/>
        <v>0</v>
      </c>
      <c r="AQ538">
        <f t="shared" si="84"/>
        <v>0</v>
      </c>
      <c r="AR538">
        <f t="shared" si="85"/>
        <v>0</v>
      </c>
      <c r="AS538">
        <f t="shared" si="86"/>
        <v>0</v>
      </c>
      <c r="AT538">
        <f t="shared" si="87"/>
        <v>0</v>
      </c>
      <c r="AU538">
        <f t="shared" si="88"/>
        <v>0</v>
      </c>
      <c r="AV538">
        <f t="shared" si="89"/>
        <v>0</v>
      </c>
      <c r="AW538">
        <f t="shared" si="90"/>
        <v>0</v>
      </c>
      <c r="AX538">
        <f t="shared" si="91"/>
        <v>0</v>
      </c>
      <c r="AY538">
        <f t="shared" si="92"/>
        <v>0</v>
      </c>
    </row>
    <row r="539" spans="38:51" x14ac:dyDescent="0.35">
      <c r="AL539" s="19" t="s">
        <v>407</v>
      </c>
      <c r="AM539">
        <f t="shared" si="80"/>
        <v>0</v>
      </c>
      <c r="AN539">
        <f t="shared" si="81"/>
        <v>0</v>
      </c>
      <c r="AO539">
        <f t="shared" si="82"/>
        <v>0</v>
      </c>
      <c r="AP539">
        <f t="shared" si="83"/>
        <v>0</v>
      </c>
      <c r="AQ539">
        <f t="shared" si="84"/>
        <v>0</v>
      </c>
      <c r="AR539">
        <f t="shared" si="85"/>
        <v>0</v>
      </c>
      <c r="AS539">
        <f t="shared" si="86"/>
        <v>0</v>
      </c>
      <c r="AT539">
        <f t="shared" si="87"/>
        <v>0</v>
      </c>
      <c r="AU539">
        <f t="shared" si="88"/>
        <v>0</v>
      </c>
      <c r="AV539">
        <f t="shared" si="89"/>
        <v>0</v>
      </c>
      <c r="AW539">
        <f t="shared" si="90"/>
        <v>0</v>
      </c>
      <c r="AX539">
        <f t="shared" si="91"/>
        <v>0</v>
      </c>
      <c r="AY539">
        <f t="shared" si="92"/>
        <v>0</v>
      </c>
    </row>
    <row r="540" spans="38:51" x14ac:dyDescent="0.35">
      <c r="AL540" s="19" t="s">
        <v>408</v>
      </c>
      <c r="AM540">
        <f t="shared" si="80"/>
        <v>0</v>
      </c>
      <c r="AN540">
        <f t="shared" si="81"/>
        <v>0</v>
      </c>
      <c r="AO540">
        <f t="shared" si="82"/>
        <v>0</v>
      </c>
      <c r="AP540">
        <f t="shared" si="83"/>
        <v>0</v>
      </c>
      <c r="AQ540">
        <f t="shared" si="84"/>
        <v>0</v>
      </c>
      <c r="AR540">
        <f t="shared" si="85"/>
        <v>0</v>
      </c>
      <c r="AS540">
        <f t="shared" si="86"/>
        <v>0</v>
      </c>
      <c r="AT540">
        <f t="shared" si="87"/>
        <v>0</v>
      </c>
      <c r="AU540">
        <f t="shared" si="88"/>
        <v>0</v>
      </c>
      <c r="AV540">
        <f t="shared" si="89"/>
        <v>0</v>
      </c>
      <c r="AW540">
        <f t="shared" si="90"/>
        <v>0</v>
      </c>
      <c r="AX540">
        <f t="shared" si="91"/>
        <v>0</v>
      </c>
      <c r="AY540">
        <f t="shared" si="92"/>
        <v>0</v>
      </c>
    </row>
    <row r="541" spans="38:51" x14ac:dyDescent="0.35">
      <c r="AL541" s="19" t="s">
        <v>409</v>
      </c>
      <c r="AM541">
        <f t="shared" si="80"/>
        <v>0</v>
      </c>
      <c r="AN541">
        <f t="shared" si="81"/>
        <v>0</v>
      </c>
      <c r="AO541">
        <f t="shared" si="82"/>
        <v>0</v>
      </c>
      <c r="AP541">
        <f t="shared" si="83"/>
        <v>0</v>
      </c>
      <c r="AQ541">
        <f t="shared" si="84"/>
        <v>0</v>
      </c>
      <c r="AR541">
        <f t="shared" si="85"/>
        <v>0</v>
      </c>
      <c r="AS541">
        <f t="shared" si="86"/>
        <v>0</v>
      </c>
      <c r="AT541">
        <f t="shared" si="87"/>
        <v>0</v>
      </c>
      <c r="AU541">
        <f t="shared" si="88"/>
        <v>0</v>
      </c>
      <c r="AV541">
        <f t="shared" si="89"/>
        <v>0</v>
      </c>
      <c r="AW541">
        <f t="shared" si="90"/>
        <v>0</v>
      </c>
      <c r="AX541">
        <f t="shared" si="91"/>
        <v>0</v>
      </c>
      <c r="AY541">
        <f t="shared" si="92"/>
        <v>0</v>
      </c>
    </row>
    <row r="542" spans="38:51" x14ac:dyDescent="0.35">
      <c r="AL542" s="19" t="s">
        <v>410</v>
      </c>
      <c r="AM542">
        <f t="shared" si="80"/>
        <v>0</v>
      </c>
      <c r="AN542">
        <f t="shared" si="81"/>
        <v>0</v>
      </c>
      <c r="AO542">
        <f t="shared" si="82"/>
        <v>0</v>
      </c>
      <c r="AP542">
        <f t="shared" si="83"/>
        <v>0</v>
      </c>
      <c r="AQ542">
        <f t="shared" si="84"/>
        <v>0</v>
      </c>
      <c r="AR542">
        <f t="shared" si="85"/>
        <v>0</v>
      </c>
      <c r="AS542">
        <f t="shared" si="86"/>
        <v>0</v>
      </c>
      <c r="AT542">
        <f t="shared" si="87"/>
        <v>0</v>
      </c>
      <c r="AU542">
        <f t="shared" si="88"/>
        <v>0</v>
      </c>
      <c r="AV542">
        <f t="shared" si="89"/>
        <v>0</v>
      </c>
      <c r="AW542">
        <f t="shared" si="90"/>
        <v>0</v>
      </c>
      <c r="AX542">
        <f t="shared" si="91"/>
        <v>0</v>
      </c>
      <c r="AY542">
        <f t="shared" si="92"/>
        <v>0</v>
      </c>
    </row>
    <row r="543" spans="38:51" x14ac:dyDescent="0.35">
      <c r="AL543" s="19" t="s">
        <v>411</v>
      </c>
      <c r="AM543">
        <f t="shared" si="80"/>
        <v>0</v>
      </c>
      <c r="AN543">
        <f t="shared" si="81"/>
        <v>0</v>
      </c>
      <c r="AO543">
        <f t="shared" si="82"/>
        <v>0</v>
      </c>
      <c r="AP543">
        <f t="shared" si="83"/>
        <v>0</v>
      </c>
      <c r="AQ543">
        <f t="shared" si="84"/>
        <v>0</v>
      </c>
      <c r="AR543">
        <f t="shared" si="85"/>
        <v>0</v>
      </c>
      <c r="AS543">
        <f t="shared" si="86"/>
        <v>0</v>
      </c>
      <c r="AT543">
        <f t="shared" si="87"/>
        <v>0</v>
      </c>
      <c r="AU543">
        <f t="shared" si="88"/>
        <v>0</v>
      </c>
      <c r="AV543">
        <f t="shared" si="89"/>
        <v>0</v>
      </c>
      <c r="AW543">
        <f t="shared" si="90"/>
        <v>0</v>
      </c>
      <c r="AX543">
        <f t="shared" si="91"/>
        <v>0</v>
      </c>
      <c r="AY543">
        <f t="shared" si="92"/>
        <v>0</v>
      </c>
    </row>
    <row r="544" spans="38:51" x14ac:dyDescent="0.35">
      <c r="AL544" s="19" t="s">
        <v>412</v>
      </c>
      <c r="AM544">
        <f t="shared" si="80"/>
        <v>0</v>
      </c>
      <c r="AN544">
        <f t="shared" si="81"/>
        <v>0</v>
      </c>
      <c r="AO544">
        <f t="shared" si="82"/>
        <v>0</v>
      </c>
      <c r="AP544">
        <f t="shared" si="83"/>
        <v>0</v>
      </c>
      <c r="AQ544">
        <f t="shared" si="84"/>
        <v>0</v>
      </c>
      <c r="AR544">
        <f t="shared" si="85"/>
        <v>0</v>
      </c>
      <c r="AS544">
        <f t="shared" si="86"/>
        <v>0</v>
      </c>
      <c r="AT544">
        <f t="shared" si="87"/>
        <v>0</v>
      </c>
      <c r="AU544">
        <f t="shared" si="88"/>
        <v>0</v>
      </c>
      <c r="AV544">
        <f t="shared" si="89"/>
        <v>0</v>
      </c>
      <c r="AW544">
        <f t="shared" si="90"/>
        <v>0</v>
      </c>
      <c r="AX544">
        <f t="shared" si="91"/>
        <v>0</v>
      </c>
      <c r="AY544">
        <f t="shared" si="92"/>
        <v>0</v>
      </c>
    </row>
    <row r="545" spans="38:51" x14ac:dyDescent="0.35">
      <c r="AL545" s="19" t="s">
        <v>413</v>
      </c>
      <c r="AM545">
        <f t="shared" si="80"/>
        <v>0</v>
      </c>
      <c r="AN545">
        <f t="shared" si="81"/>
        <v>0</v>
      </c>
      <c r="AO545">
        <f t="shared" si="82"/>
        <v>0</v>
      </c>
      <c r="AP545">
        <f t="shared" si="83"/>
        <v>0</v>
      </c>
      <c r="AQ545">
        <f t="shared" si="84"/>
        <v>0</v>
      </c>
      <c r="AR545">
        <f t="shared" si="85"/>
        <v>0</v>
      </c>
      <c r="AS545">
        <f t="shared" si="86"/>
        <v>0</v>
      </c>
      <c r="AT545">
        <f t="shared" si="87"/>
        <v>0</v>
      </c>
      <c r="AU545">
        <f t="shared" si="88"/>
        <v>0</v>
      </c>
      <c r="AV545">
        <f t="shared" si="89"/>
        <v>0</v>
      </c>
      <c r="AW545">
        <f t="shared" si="90"/>
        <v>0</v>
      </c>
      <c r="AX545">
        <f t="shared" si="91"/>
        <v>0</v>
      </c>
      <c r="AY545">
        <f t="shared" si="92"/>
        <v>0</v>
      </c>
    </row>
    <row r="546" spans="38:51" x14ac:dyDescent="0.35">
      <c r="AL546" s="19" t="s">
        <v>414</v>
      </c>
      <c r="AM546">
        <f t="shared" si="80"/>
        <v>0</v>
      </c>
      <c r="AN546">
        <f t="shared" si="81"/>
        <v>0</v>
      </c>
      <c r="AO546">
        <f t="shared" si="82"/>
        <v>0</v>
      </c>
      <c r="AP546">
        <f t="shared" si="83"/>
        <v>0</v>
      </c>
      <c r="AQ546">
        <f t="shared" si="84"/>
        <v>0</v>
      </c>
      <c r="AR546">
        <f t="shared" si="85"/>
        <v>0</v>
      </c>
      <c r="AS546">
        <f t="shared" si="86"/>
        <v>0</v>
      </c>
      <c r="AT546">
        <f t="shared" si="87"/>
        <v>0</v>
      </c>
      <c r="AU546">
        <f t="shared" si="88"/>
        <v>0</v>
      </c>
      <c r="AV546">
        <f t="shared" si="89"/>
        <v>0</v>
      </c>
      <c r="AW546">
        <f t="shared" si="90"/>
        <v>0</v>
      </c>
      <c r="AX546">
        <f t="shared" si="91"/>
        <v>0</v>
      </c>
      <c r="AY546">
        <f t="shared" si="92"/>
        <v>0</v>
      </c>
    </row>
    <row r="547" spans="38:51" x14ac:dyDescent="0.35">
      <c r="AL547" s="19" t="s">
        <v>415</v>
      </c>
      <c r="AM547">
        <f t="shared" si="80"/>
        <v>0</v>
      </c>
      <c r="AN547">
        <f t="shared" si="81"/>
        <v>0</v>
      </c>
      <c r="AO547">
        <f t="shared" si="82"/>
        <v>0</v>
      </c>
      <c r="AP547">
        <f t="shared" si="83"/>
        <v>0</v>
      </c>
      <c r="AQ547">
        <f t="shared" si="84"/>
        <v>0</v>
      </c>
      <c r="AR547">
        <f t="shared" si="85"/>
        <v>0</v>
      </c>
      <c r="AS547">
        <f t="shared" si="86"/>
        <v>0</v>
      </c>
      <c r="AT547">
        <f t="shared" si="87"/>
        <v>0</v>
      </c>
      <c r="AU547">
        <f t="shared" si="88"/>
        <v>0</v>
      </c>
      <c r="AV547">
        <f t="shared" si="89"/>
        <v>0</v>
      </c>
      <c r="AW547">
        <f t="shared" si="90"/>
        <v>0</v>
      </c>
      <c r="AX547">
        <f t="shared" si="91"/>
        <v>0</v>
      </c>
      <c r="AY547">
        <f t="shared" si="92"/>
        <v>0</v>
      </c>
    </row>
    <row r="548" spans="38:51" x14ac:dyDescent="0.35">
      <c r="AL548" s="19" t="s">
        <v>416</v>
      </c>
      <c r="AM548">
        <f t="shared" si="80"/>
        <v>0</v>
      </c>
      <c r="AN548">
        <f t="shared" si="81"/>
        <v>0</v>
      </c>
      <c r="AO548">
        <f t="shared" si="82"/>
        <v>0</v>
      </c>
      <c r="AP548">
        <f t="shared" si="83"/>
        <v>0</v>
      </c>
      <c r="AQ548">
        <f t="shared" si="84"/>
        <v>0</v>
      </c>
      <c r="AR548">
        <f t="shared" si="85"/>
        <v>0</v>
      </c>
      <c r="AS548">
        <f t="shared" si="86"/>
        <v>0</v>
      </c>
      <c r="AT548">
        <f t="shared" si="87"/>
        <v>0</v>
      </c>
      <c r="AU548">
        <f t="shared" si="88"/>
        <v>0</v>
      </c>
      <c r="AV548">
        <f t="shared" si="89"/>
        <v>0</v>
      </c>
      <c r="AW548">
        <f t="shared" si="90"/>
        <v>0</v>
      </c>
      <c r="AX548">
        <f t="shared" si="91"/>
        <v>0</v>
      </c>
      <c r="AY548">
        <f t="shared" si="92"/>
        <v>0</v>
      </c>
    </row>
    <row r="549" spans="38:51" x14ac:dyDescent="0.35">
      <c r="AL549" s="19" t="s">
        <v>417</v>
      </c>
      <c r="AM549">
        <f t="shared" si="80"/>
        <v>0</v>
      </c>
      <c r="AN549">
        <f t="shared" si="81"/>
        <v>0</v>
      </c>
      <c r="AO549">
        <f t="shared" si="82"/>
        <v>0</v>
      </c>
      <c r="AP549">
        <f t="shared" si="83"/>
        <v>0</v>
      </c>
      <c r="AQ549">
        <f t="shared" si="84"/>
        <v>0</v>
      </c>
      <c r="AR549">
        <f t="shared" si="85"/>
        <v>0</v>
      </c>
      <c r="AS549">
        <f t="shared" si="86"/>
        <v>0</v>
      </c>
      <c r="AT549">
        <f t="shared" si="87"/>
        <v>0</v>
      </c>
      <c r="AU549">
        <f t="shared" si="88"/>
        <v>0</v>
      </c>
      <c r="AV549">
        <f t="shared" si="89"/>
        <v>0</v>
      </c>
      <c r="AW549">
        <f t="shared" si="90"/>
        <v>0</v>
      </c>
      <c r="AX549">
        <f t="shared" si="91"/>
        <v>0</v>
      </c>
      <c r="AY549">
        <f t="shared" si="92"/>
        <v>0</v>
      </c>
    </row>
    <row r="550" spans="38:51" x14ac:dyDescent="0.35">
      <c r="AL550" s="19" t="s">
        <v>418</v>
      </c>
      <c r="AM550">
        <f t="shared" si="80"/>
        <v>0</v>
      </c>
      <c r="AN550">
        <f t="shared" si="81"/>
        <v>0</v>
      </c>
      <c r="AO550">
        <f t="shared" si="82"/>
        <v>0</v>
      </c>
      <c r="AP550">
        <f t="shared" si="83"/>
        <v>0</v>
      </c>
      <c r="AQ550">
        <f t="shared" si="84"/>
        <v>0</v>
      </c>
      <c r="AR550">
        <f t="shared" si="85"/>
        <v>0</v>
      </c>
      <c r="AS550">
        <f t="shared" si="86"/>
        <v>0</v>
      </c>
      <c r="AT550">
        <f t="shared" si="87"/>
        <v>0</v>
      </c>
      <c r="AU550">
        <f t="shared" si="88"/>
        <v>0</v>
      </c>
      <c r="AV550">
        <f t="shared" si="89"/>
        <v>0</v>
      </c>
      <c r="AW550">
        <f t="shared" si="90"/>
        <v>0</v>
      </c>
      <c r="AX550">
        <f t="shared" si="91"/>
        <v>0</v>
      </c>
      <c r="AY550">
        <f t="shared" si="92"/>
        <v>0</v>
      </c>
    </row>
    <row r="551" spans="38:51" x14ac:dyDescent="0.35">
      <c r="AL551" s="19" t="s">
        <v>419</v>
      </c>
      <c r="AM551">
        <f t="shared" si="80"/>
        <v>0</v>
      </c>
      <c r="AN551">
        <f t="shared" si="81"/>
        <v>0</v>
      </c>
      <c r="AO551">
        <f t="shared" si="82"/>
        <v>0</v>
      </c>
      <c r="AP551">
        <f t="shared" si="83"/>
        <v>0</v>
      </c>
      <c r="AQ551">
        <f t="shared" si="84"/>
        <v>0</v>
      </c>
      <c r="AR551">
        <f t="shared" si="85"/>
        <v>0</v>
      </c>
      <c r="AS551">
        <f t="shared" si="86"/>
        <v>0</v>
      </c>
      <c r="AT551">
        <f t="shared" si="87"/>
        <v>0</v>
      </c>
      <c r="AU551">
        <f t="shared" si="88"/>
        <v>0</v>
      </c>
      <c r="AV551">
        <f t="shared" si="89"/>
        <v>0</v>
      </c>
      <c r="AW551">
        <f t="shared" si="90"/>
        <v>0</v>
      </c>
      <c r="AX551">
        <f t="shared" si="91"/>
        <v>0</v>
      </c>
      <c r="AY551">
        <f t="shared" si="92"/>
        <v>0</v>
      </c>
    </row>
    <row r="552" spans="38:51" x14ac:dyDescent="0.35">
      <c r="AL552" s="19" t="s">
        <v>420</v>
      </c>
      <c r="AM552">
        <f t="shared" si="80"/>
        <v>0</v>
      </c>
      <c r="AN552">
        <f t="shared" si="81"/>
        <v>0</v>
      </c>
      <c r="AO552">
        <f t="shared" si="82"/>
        <v>0</v>
      </c>
      <c r="AP552">
        <f t="shared" si="83"/>
        <v>0</v>
      </c>
      <c r="AQ552">
        <f t="shared" si="84"/>
        <v>0</v>
      </c>
      <c r="AR552">
        <f t="shared" si="85"/>
        <v>0</v>
      </c>
      <c r="AS552">
        <f t="shared" si="86"/>
        <v>0</v>
      </c>
      <c r="AT552">
        <f t="shared" si="87"/>
        <v>0</v>
      </c>
      <c r="AU552">
        <f t="shared" si="88"/>
        <v>0</v>
      </c>
      <c r="AV552">
        <f t="shared" si="89"/>
        <v>0</v>
      </c>
      <c r="AW552">
        <f t="shared" si="90"/>
        <v>0</v>
      </c>
      <c r="AX552">
        <f t="shared" si="91"/>
        <v>0</v>
      </c>
      <c r="AY552">
        <f t="shared" si="92"/>
        <v>0</v>
      </c>
    </row>
    <row r="553" spans="38:51" x14ac:dyDescent="0.35">
      <c r="AL553" s="19" t="s">
        <v>421</v>
      </c>
      <c r="AM553">
        <f t="shared" si="80"/>
        <v>0</v>
      </c>
      <c r="AN553">
        <f t="shared" si="81"/>
        <v>2</v>
      </c>
      <c r="AO553">
        <f t="shared" si="82"/>
        <v>1</v>
      </c>
      <c r="AP553">
        <f t="shared" si="83"/>
        <v>0</v>
      </c>
      <c r="AQ553">
        <f t="shared" si="84"/>
        <v>1</v>
      </c>
      <c r="AR553">
        <f t="shared" si="85"/>
        <v>1</v>
      </c>
      <c r="AS553">
        <f t="shared" si="86"/>
        <v>0</v>
      </c>
      <c r="AT553">
        <f t="shared" si="87"/>
        <v>0</v>
      </c>
      <c r="AU553">
        <f t="shared" si="88"/>
        <v>0</v>
      </c>
      <c r="AV553">
        <f t="shared" si="89"/>
        <v>0</v>
      </c>
      <c r="AW553">
        <f t="shared" si="90"/>
        <v>0</v>
      </c>
      <c r="AX553">
        <f t="shared" si="91"/>
        <v>0</v>
      </c>
      <c r="AY553">
        <f t="shared" si="92"/>
        <v>0</v>
      </c>
    </row>
    <row r="554" spans="38:51" x14ac:dyDescent="0.35">
      <c r="AL554" s="19" t="s">
        <v>422</v>
      </c>
      <c r="AM554">
        <f t="shared" si="80"/>
        <v>0</v>
      </c>
      <c r="AN554">
        <f t="shared" si="81"/>
        <v>0</v>
      </c>
      <c r="AO554">
        <f t="shared" si="82"/>
        <v>0</v>
      </c>
      <c r="AP554">
        <f t="shared" si="83"/>
        <v>0</v>
      </c>
      <c r="AQ554">
        <f t="shared" si="84"/>
        <v>0</v>
      </c>
      <c r="AR554">
        <f t="shared" si="85"/>
        <v>0</v>
      </c>
      <c r="AS554">
        <f t="shared" si="86"/>
        <v>0</v>
      </c>
      <c r="AT554">
        <f t="shared" si="87"/>
        <v>0</v>
      </c>
      <c r="AU554">
        <f t="shared" si="88"/>
        <v>0</v>
      </c>
      <c r="AV554">
        <f t="shared" si="89"/>
        <v>0</v>
      </c>
      <c r="AW554">
        <f t="shared" si="90"/>
        <v>0</v>
      </c>
      <c r="AX554">
        <f t="shared" si="91"/>
        <v>0</v>
      </c>
      <c r="AY554">
        <f t="shared" si="92"/>
        <v>0</v>
      </c>
    </row>
    <row r="555" spans="38:51" x14ac:dyDescent="0.35">
      <c r="AL555" s="19" t="s">
        <v>423</v>
      </c>
      <c r="AM555">
        <f t="shared" si="80"/>
        <v>0</v>
      </c>
      <c r="AN555">
        <f t="shared" si="81"/>
        <v>0</v>
      </c>
      <c r="AO555">
        <f t="shared" si="82"/>
        <v>0</v>
      </c>
      <c r="AP555">
        <f t="shared" si="83"/>
        <v>0</v>
      </c>
      <c r="AQ555">
        <f t="shared" si="84"/>
        <v>0</v>
      </c>
      <c r="AR555">
        <f t="shared" si="85"/>
        <v>0</v>
      </c>
      <c r="AS555">
        <f t="shared" si="86"/>
        <v>0</v>
      </c>
      <c r="AT555">
        <f t="shared" si="87"/>
        <v>0</v>
      </c>
      <c r="AU555">
        <f t="shared" si="88"/>
        <v>0</v>
      </c>
      <c r="AV555">
        <f t="shared" si="89"/>
        <v>0</v>
      </c>
      <c r="AW555">
        <f t="shared" si="90"/>
        <v>0</v>
      </c>
      <c r="AX555">
        <f t="shared" si="91"/>
        <v>0</v>
      </c>
      <c r="AY555">
        <f t="shared" si="92"/>
        <v>0</v>
      </c>
    </row>
    <row r="556" spans="38:51" x14ac:dyDescent="0.35">
      <c r="AL556" s="19" t="s">
        <v>424</v>
      </c>
      <c r="AM556">
        <f t="shared" si="80"/>
        <v>1</v>
      </c>
      <c r="AN556">
        <f t="shared" si="81"/>
        <v>0</v>
      </c>
      <c r="AO556">
        <f t="shared" si="82"/>
        <v>0</v>
      </c>
      <c r="AP556">
        <f t="shared" si="83"/>
        <v>3</v>
      </c>
      <c r="AQ556">
        <f t="shared" si="84"/>
        <v>0</v>
      </c>
      <c r="AR556">
        <f t="shared" si="85"/>
        <v>0</v>
      </c>
      <c r="AS556">
        <f t="shared" si="86"/>
        <v>0</v>
      </c>
      <c r="AT556">
        <f t="shared" si="87"/>
        <v>0</v>
      </c>
      <c r="AU556">
        <f t="shared" si="88"/>
        <v>0</v>
      </c>
      <c r="AV556">
        <f t="shared" si="89"/>
        <v>0</v>
      </c>
      <c r="AW556">
        <f t="shared" si="90"/>
        <v>0</v>
      </c>
      <c r="AX556">
        <f t="shared" si="91"/>
        <v>0</v>
      </c>
      <c r="AY556">
        <f t="shared" si="92"/>
        <v>0</v>
      </c>
    </row>
    <row r="557" spans="38:51" x14ac:dyDescent="0.35">
      <c r="AL557" s="19" t="s">
        <v>425</v>
      </c>
      <c r="AM557">
        <f t="shared" si="80"/>
        <v>0</v>
      </c>
      <c r="AN557">
        <f t="shared" si="81"/>
        <v>0</v>
      </c>
      <c r="AO557">
        <f t="shared" si="82"/>
        <v>0</v>
      </c>
      <c r="AP557">
        <f t="shared" si="83"/>
        <v>0</v>
      </c>
      <c r="AQ557">
        <f t="shared" si="84"/>
        <v>0</v>
      </c>
      <c r="AR557">
        <f t="shared" si="85"/>
        <v>0</v>
      </c>
      <c r="AS557">
        <f t="shared" si="86"/>
        <v>0</v>
      </c>
      <c r="AT557">
        <f t="shared" si="87"/>
        <v>0</v>
      </c>
      <c r="AU557">
        <f t="shared" si="88"/>
        <v>0</v>
      </c>
      <c r="AV557">
        <f t="shared" si="89"/>
        <v>0</v>
      </c>
      <c r="AW557">
        <f t="shared" si="90"/>
        <v>0</v>
      </c>
      <c r="AX557">
        <f t="shared" si="91"/>
        <v>0</v>
      </c>
      <c r="AY557">
        <f t="shared" si="92"/>
        <v>0</v>
      </c>
    </row>
    <row r="558" spans="38:51" x14ac:dyDescent="0.35">
      <c r="AL558" s="19" t="s">
        <v>426</v>
      </c>
      <c r="AM558">
        <f t="shared" si="80"/>
        <v>0</v>
      </c>
      <c r="AN558">
        <f t="shared" si="81"/>
        <v>1</v>
      </c>
      <c r="AO558">
        <f t="shared" si="82"/>
        <v>0</v>
      </c>
      <c r="AP558">
        <f t="shared" si="83"/>
        <v>0</v>
      </c>
      <c r="AQ558">
        <f t="shared" si="84"/>
        <v>0</v>
      </c>
      <c r="AR558">
        <f t="shared" si="85"/>
        <v>0</v>
      </c>
      <c r="AS558">
        <f t="shared" si="86"/>
        <v>0</v>
      </c>
      <c r="AT558">
        <f t="shared" si="87"/>
        <v>0</v>
      </c>
      <c r="AU558">
        <f t="shared" si="88"/>
        <v>0</v>
      </c>
      <c r="AV558">
        <f t="shared" si="89"/>
        <v>0</v>
      </c>
      <c r="AW558">
        <f t="shared" si="90"/>
        <v>0</v>
      </c>
      <c r="AX558">
        <f t="shared" si="91"/>
        <v>0</v>
      </c>
      <c r="AY558">
        <f t="shared" si="92"/>
        <v>0</v>
      </c>
    </row>
    <row r="559" spans="38:51" x14ac:dyDescent="0.35">
      <c r="AL559" s="19" t="s">
        <v>427</v>
      </c>
      <c r="AM559">
        <f t="shared" si="80"/>
        <v>0</v>
      </c>
      <c r="AN559">
        <f t="shared" si="81"/>
        <v>0</v>
      </c>
      <c r="AO559">
        <f t="shared" si="82"/>
        <v>0</v>
      </c>
      <c r="AP559">
        <f t="shared" si="83"/>
        <v>0</v>
      </c>
      <c r="AQ559">
        <f t="shared" si="84"/>
        <v>0</v>
      </c>
      <c r="AR559">
        <f t="shared" si="85"/>
        <v>0</v>
      </c>
      <c r="AS559">
        <f t="shared" si="86"/>
        <v>0</v>
      </c>
      <c r="AT559">
        <f t="shared" si="87"/>
        <v>0</v>
      </c>
      <c r="AU559">
        <f t="shared" si="88"/>
        <v>0</v>
      </c>
      <c r="AV559">
        <f t="shared" si="89"/>
        <v>0</v>
      </c>
      <c r="AW559">
        <f t="shared" si="90"/>
        <v>0</v>
      </c>
      <c r="AX559">
        <f t="shared" si="91"/>
        <v>0</v>
      </c>
      <c r="AY559">
        <f t="shared" si="92"/>
        <v>0</v>
      </c>
    </row>
    <row r="560" spans="38:51" x14ac:dyDescent="0.35">
      <c r="AL560" s="19"/>
    </row>
    <row r="561" spans="38:38" x14ac:dyDescent="0.35">
      <c r="AL561" s="19"/>
    </row>
    <row r="562" spans="38:38" x14ac:dyDescent="0.35">
      <c r="AL562" s="19"/>
    </row>
    <row r="563" spans="38:38" x14ac:dyDescent="0.35">
      <c r="AL563" s="19"/>
    </row>
    <row r="564" spans="38:38" x14ac:dyDescent="0.35">
      <c r="AL564" s="19"/>
    </row>
    <row r="565" spans="38:38" x14ac:dyDescent="0.35">
      <c r="AL565" s="19"/>
    </row>
    <row r="566" spans="38:38" x14ac:dyDescent="0.35">
      <c r="AL566" s="19"/>
    </row>
    <row r="567" spans="38:38" x14ac:dyDescent="0.35">
      <c r="AL567" s="19"/>
    </row>
    <row r="568" spans="38:38" x14ac:dyDescent="0.35">
      <c r="AL568" s="19"/>
    </row>
    <row r="569" spans="38:38" x14ac:dyDescent="0.35">
      <c r="AL569" s="19"/>
    </row>
  </sheetData>
  <mergeCells count="1">
    <mergeCell ref="I1:AD1"/>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BJ44"/>
  <sheetViews>
    <sheetView workbookViewId="0">
      <selection activeCell="AQ4" sqref="AQ4"/>
    </sheetView>
  </sheetViews>
  <sheetFormatPr defaultRowHeight="14.5" x14ac:dyDescent="0.35"/>
  <cols>
    <col min="1" max="1" width="3.6328125" customWidth="1"/>
    <col min="2" max="2" width="24.453125" bestFit="1" customWidth="1"/>
    <col min="3" max="3" width="15.26953125" bestFit="1" customWidth="1"/>
    <col min="4" max="4" width="7.08984375" bestFit="1" customWidth="1"/>
    <col min="5" max="5" width="8.54296875" bestFit="1" customWidth="1"/>
    <col min="6" max="6" width="22" bestFit="1" customWidth="1"/>
    <col min="7" max="7" width="10.54296875" bestFit="1" customWidth="1"/>
    <col min="8" max="8" width="9.7265625" bestFit="1" customWidth="1"/>
    <col min="9" max="9" width="10.54296875" bestFit="1" customWidth="1"/>
    <col min="10" max="10" width="10.7265625" bestFit="1" customWidth="1"/>
    <col min="11" max="11" width="11.26953125" customWidth="1"/>
    <col min="22" max="22" width="25.54296875" bestFit="1" customWidth="1"/>
    <col min="23" max="23" width="15.26953125" bestFit="1" customWidth="1"/>
    <col min="24" max="24" width="7.08984375" bestFit="1" customWidth="1"/>
    <col min="25" max="25" width="8.54296875" bestFit="1" customWidth="1"/>
    <col min="26" max="26" width="22" bestFit="1" customWidth="1"/>
    <col min="27" max="27" width="10.54296875" bestFit="1" customWidth="1"/>
    <col min="28" max="28" width="9.7265625" bestFit="1" customWidth="1"/>
    <col min="29" max="29" width="10.54296875" bestFit="1" customWidth="1"/>
    <col min="30" max="30" width="10.7265625" bestFit="1" customWidth="1"/>
    <col min="31" max="31" width="11.26953125" customWidth="1"/>
    <col min="43" max="43" width="27" bestFit="1" customWidth="1"/>
    <col min="44" max="44" width="15.26953125" bestFit="1" customWidth="1"/>
    <col min="45" max="45" width="7.08984375" bestFit="1" customWidth="1"/>
    <col min="46" max="46" width="8.54296875" bestFit="1" customWidth="1"/>
    <col min="47" max="47" width="22" bestFit="1" customWidth="1"/>
    <col min="48" max="48" width="10.54296875" bestFit="1" customWidth="1"/>
    <col min="49" max="49" width="9.7265625" bestFit="1" customWidth="1"/>
    <col min="50" max="50" width="10.54296875" bestFit="1" customWidth="1"/>
    <col min="51" max="51" width="10.7265625" bestFit="1" customWidth="1"/>
    <col min="52" max="52" width="11.26953125" customWidth="1"/>
    <col min="53" max="53" width="11.26953125" bestFit="1" customWidth="1"/>
  </cols>
  <sheetData>
    <row r="1" spans="2:62" x14ac:dyDescent="0.35">
      <c r="B1" s="184" t="s">
        <v>273</v>
      </c>
      <c r="C1" s="184"/>
      <c r="D1" s="184"/>
      <c r="E1" s="184"/>
      <c r="F1" s="184"/>
      <c r="G1" s="184"/>
      <c r="H1" s="184"/>
      <c r="I1" s="184"/>
      <c r="J1" s="184"/>
      <c r="K1" s="184"/>
      <c r="L1" s="184"/>
      <c r="M1" s="184"/>
      <c r="N1" s="184"/>
      <c r="O1" s="184"/>
      <c r="P1" s="184"/>
      <c r="Q1" s="184"/>
      <c r="V1" s="182" t="s">
        <v>274</v>
      </c>
      <c r="W1" s="182"/>
      <c r="X1" s="182"/>
      <c r="Y1" s="182"/>
      <c r="Z1" s="182"/>
      <c r="AA1" s="182"/>
      <c r="AB1" s="182"/>
      <c r="AC1" s="182"/>
      <c r="AD1" s="182"/>
      <c r="AE1" s="182"/>
      <c r="AF1" s="182"/>
      <c r="AG1" s="182"/>
      <c r="AH1" s="182"/>
      <c r="AI1" s="182"/>
      <c r="AJ1" s="182"/>
      <c r="AK1" s="182"/>
      <c r="AQ1" s="182" t="s">
        <v>275</v>
      </c>
      <c r="AR1" s="182"/>
      <c r="AS1" s="182"/>
      <c r="AT1" s="182"/>
      <c r="AU1" s="182"/>
      <c r="AV1" s="182"/>
      <c r="AW1" s="182"/>
      <c r="AX1" s="182"/>
      <c r="AY1" s="182"/>
      <c r="AZ1" s="182"/>
      <c r="BA1" s="182"/>
      <c r="BB1" s="182"/>
      <c r="BC1" s="182"/>
      <c r="BD1" s="182"/>
      <c r="BE1" s="182"/>
      <c r="BF1" s="182"/>
      <c r="BG1" s="182"/>
    </row>
    <row r="3" spans="2:62" x14ac:dyDescent="0.35">
      <c r="B3" s="18" t="s">
        <v>40</v>
      </c>
      <c r="C3" t="s" vm="1">
        <v>435</v>
      </c>
      <c r="V3" s="18" t="s">
        <v>40</v>
      </c>
      <c r="W3" t="s" vm="1">
        <v>435</v>
      </c>
    </row>
    <row r="4" spans="2:62" x14ac:dyDescent="0.35">
      <c r="M4" t="s">
        <v>41</v>
      </c>
      <c r="N4" t="s">
        <v>1</v>
      </c>
      <c r="O4" t="s">
        <v>226</v>
      </c>
      <c r="P4" t="s">
        <v>254</v>
      </c>
      <c r="Q4" t="s">
        <v>223</v>
      </c>
      <c r="R4" t="s">
        <v>224</v>
      </c>
      <c r="S4" t="s">
        <v>257</v>
      </c>
      <c r="T4" t="s">
        <v>256</v>
      </c>
      <c r="AG4" t="s">
        <v>41</v>
      </c>
      <c r="AH4" t="s">
        <v>1</v>
      </c>
      <c r="AI4" t="s">
        <v>226</v>
      </c>
      <c r="AJ4" t="s">
        <v>254</v>
      </c>
      <c r="AK4" t="s">
        <v>223</v>
      </c>
      <c r="AL4" t="s">
        <v>224</v>
      </c>
      <c r="AM4" t="s">
        <v>257</v>
      </c>
      <c r="AN4" t="s">
        <v>256</v>
      </c>
      <c r="AQ4" s="18" t="s">
        <v>40</v>
      </c>
      <c r="AR4" t="s" vm="1">
        <v>435</v>
      </c>
      <c r="BC4" t="s">
        <v>41</v>
      </c>
      <c r="BD4" t="s">
        <v>1</v>
      </c>
      <c r="BE4" t="s">
        <v>226</v>
      </c>
      <c r="BF4" t="s">
        <v>254</v>
      </c>
      <c r="BG4" t="s">
        <v>223</v>
      </c>
      <c r="BH4" t="s">
        <v>224</v>
      </c>
      <c r="BI4" t="s">
        <v>257</v>
      </c>
      <c r="BJ4" t="s">
        <v>256</v>
      </c>
    </row>
    <row r="5" spans="2:62" x14ac:dyDescent="0.35">
      <c r="B5" s="18" t="s">
        <v>61</v>
      </c>
      <c r="C5" s="18" t="s">
        <v>42</v>
      </c>
      <c r="L5" s="21" t="s">
        <v>43</v>
      </c>
      <c r="M5">
        <f>VLOOKUP($L5,$B$7:$J$1048576,9,FALSE)/7</f>
        <v>34728.142857142855</v>
      </c>
      <c r="N5">
        <f>VLOOKUP($L5,$B$7:$J$1048576,3,FALSE)/7</f>
        <v>4930.2857142857147</v>
      </c>
      <c r="O5">
        <f>VLOOKUP($L5,$B$7:$J$1048576,4,FALSE)/7</f>
        <v>6134.2857142857147</v>
      </c>
      <c r="P5">
        <f>VLOOKUP($L5,$B$7:$J$1048576,5,FALSE)/7</f>
        <v>5921.5714285714284</v>
      </c>
      <c r="Q5">
        <f>VLOOKUP($L5,$B$7:$J$1048576,7,FALSE)/7</f>
        <v>4885.8571428571431</v>
      </c>
      <c r="R5">
        <f>VLOOKUP($L5,$B$7:$J$1048576,8,FALSE)/7</f>
        <v>3458.1428571428573</v>
      </c>
      <c r="S5">
        <f>VLOOKUP($L5,$B$7:$J$1048576,2,FALSE)/7</f>
        <v>3578</v>
      </c>
      <c r="T5">
        <f>VLOOKUP($L5,$B$7:$J$1048576,6,FALSE)/7</f>
        <v>5820</v>
      </c>
      <c r="V5" s="18" t="s">
        <v>62</v>
      </c>
      <c r="W5" s="18" t="s">
        <v>42</v>
      </c>
      <c r="AF5" s="21" t="s">
        <v>43</v>
      </c>
      <c r="AG5">
        <f>VLOOKUP($AF5,$V$7:$AD$1048576,9,FALSE)/7</f>
        <v>11336</v>
      </c>
      <c r="AH5">
        <f>VLOOKUP($AF5,$V$7:$AD$1048576,3,FALSE)/7</f>
        <v>1721.1428571428571</v>
      </c>
      <c r="AI5">
        <f>VLOOKUP($AF5,$V$7:$AD$1048576,4,FALSE)/7</f>
        <v>1784.1428571428571</v>
      </c>
      <c r="AJ5">
        <f>VLOOKUP($AF5,$V$7:$AD$1048576,5,FALSE)/7</f>
        <v>1910.2857142857142</v>
      </c>
      <c r="AK5">
        <f>VLOOKUP($AF5,$V$7:$AD$1048576,7,FALSE)/7</f>
        <v>1512</v>
      </c>
      <c r="AL5">
        <f>VLOOKUP($AF5,$V$7:$AD$1048576,8,FALSE)/7</f>
        <v>1116.8571428571429</v>
      </c>
      <c r="AM5">
        <f>VLOOKUP($AF5,$V$7:$AD$1048576,2,FALSE)/7</f>
        <v>1078.1428571428571</v>
      </c>
      <c r="AN5">
        <f>VLOOKUP($AF5,$V$7:$AD$1048576,6,FALSE)/7</f>
        <v>2213.4285714285716</v>
      </c>
      <c r="BB5" s="21" t="s">
        <v>43</v>
      </c>
      <c r="BC5">
        <f>VLOOKUP(BB5, $AQ$8:$AY$1048576, 9, 0)/7</f>
        <v>18825</v>
      </c>
      <c r="BD5">
        <f>VLOOKUP(BB5, $AQ$8:$AY$1048576, 3, 0)/7</f>
        <v>2682.8571428571427</v>
      </c>
      <c r="BE5">
        <f>VLOOKUP(BB5, $AQ$8:$AY$1048576, 4, 0)/7</f>
        <v>3120.8571428571427</v>
      </c>
      <c r="BF5">
        <f>VLOOKUP(BB5, $AQ$8:$AY$1048576, 5, 0)/7</f>
        <v>3262.4285714285716</v>
      </c>
      <c r="BG5">
        <f>VLOOKUP(BB5, $AQ$8:$AY$1048576, 7, 0)/7</f>
        <v>2559.8571428571427</v>
      </c>
      <c r="BH5">
        <f>VLOOKUP(BB5, $AQ$8:$AY$1048576, 8, 0)/7</f>
        <v>1870.2857142857142</v>
      </c>
      <c r="BI5">
        <f>VLOOKUP(BB5, $AQ$8:$AY$1048576, 2, 0)/7</f>
        <v>1874.5714285714287</v>
      </c>
      <c r="BJ5">
        <f>VLOOKUP(BB5, $AQ$8:$AY$1048576, 6, 0)/7</f>
        <v>3454.1428571428573</v>
      </c>
    </row>
    <row r="6" spans="2:62" x14ac:dyDescent="0.35">
      <c r="B6" s="18" t="s">
        <v>38</v>
      </c>
      <c r="C6" t="s">
        <v>291</v>
      </c>
      <c r="D6" t="s">
        <v>1</v>
      </c>
      <c r="E6" t="s">
        <v>226</v>
      </c>
      <c r="F6" t="s">
        <v>258</v>
      </c>
      <c r="G6" t="s">
        <v>255</v>
      </c>
      <c r="H6" t="s">
        <v>223</v>
      </c>
      <c r="I6" t="s">
        <v>224</v>
      </c>
      <c r="J6" t="s">
        <v>39</v>
      </c>
      <c r="L6" s="20" t="s">
        <v>44</v>
      </c>
      <c r="M6">
        <f t="shared" ref="M6:M17" si="0">VLOOKUP($L6,$B$7:$J$1048576,9,FALSE)/7</f>
        <v>35472.714285714283</v>
      </c>
      <c r="N6">
        <f t="shared" ref="N6:N17" si="1">VLOOKUP($L6,$B$7:$J$1048576,3,FALSE)/7</f>
        <v>5053.2857142857147</v>
      </c>
      <c r="O6">
        <f t="shared" ref="O6:O17" si="2">VLOOKUP($L6,$B$7:$J$1048576,4,FALSE)/7</f>
        <v>6249.4285714285716</v>
      </c>
      <c r="P6">
        <f t="shared" ref="P6:P17" si="3">VLOOKUP($L6,$B$7:$J$1048576,5,FALSE)/7</f>
        <v>6065.8571428571431</v>
      </c>
      <c r="Q6">
        <f t="shared" ref="Q6:Q17" si="4">VLOOKUP($L6,$B$7:$J$1048576,7,FALSE)/7</f>
        <v>4979.4285714285716</v>
      </c>
      <c r="R6">
        <f t="shared" ref="R6:R17" si="5">VLOOKUP($L6,$B$7:$J$1048576,8,FALSE)/7</f>
        <v>3568.1428571428573</v>
      </c>
      <c r="S6">
        <f t="shared" ref="S6:S17" si="6">VLOOKUP($L6,$B$7:$J$1048576,2,FALSE)/7</f>
        <v>3696.5714285714284</v>
      </c>
      <c r="T6">
        <f t="shared" ref="T6:T17" si="7">VLOOKUP($L6,$B$7:$J$1048576,6,FALSE)/7</f>
        <v>5860</v>
      </c>
      <c r="V6" s="18" t="s">
        <v>38</v>
      </c>
      <c r="W6" t="s">
        <v>291</v>
      </c>
      <c r="X6" t="s">
        <v>1</v>
      </c>
      <c r="Y6" t="s">
        <v>226</v>
      </c>
      <c r="Z6" t="s">
        <v>258</v>
      </c>
      <c r="AA6" t="s">
        <v>255</v>
      </c>
      <c r="AB6" t="s">
        <v>223</v>
      </c>
      <c r="AC6" t="s">
        <v>224</v>
      </c>
      <c r="AD6" t="s">
        <v>39</v>
      </c>
      <c r="AF6" s="20" t="s">
        <v>44</v>
      </c>
      <c r="AG6">
        <f t="shared" ref="AG6:AG17" si="8">VLOOKUP($AF6,$V$7:$AD$1048576,9,FALSE)/7</f>
        <v>11411.142857142857</v>
      </c>
      <c r="AH6">
        <f t="shared" ref="AH6:AH17" si="9">VLOOKUP($AF6,$V$7:$AD$1048576,3,FALSE)/7</f>
        <v>1742</v>
      </c>
      <c r="AI6">
        <f t="shared" ref="AI6:AI17" si="10">VLOOKUP($AF6,$V$7:$AD$1048576,4,FALSE)/7</f>
        <v>1831.5714285714287</v>
      </c>
      <c r="AJ6">
        <f t="shared" ref="AJ6:AJ17" si="11">VLOOKUP($AF6,$V$7:$AD$1048576,5,FALSE)/7</f>
        <v>1946</v>
      </c>
      <c r="AK6">
        <f t="shared" ref="AK6:AK17" si="12">VLOOKUP($AF6,$V$7:$AD$1048576,7,FALSE)/7</f>
        <v>1502.4285714285713</v>
      </c>
      <c r="AL6">
        <f t="shared" ref="AL6:AL17" si="13">VLOOKUP($AF6,$V$7:$AD$1048576,8,FALSE)/7</f>
        <v>1127.2857142857142</v>
      </c>
      <c r="AM6">
        <f t="shared" ref="AM6:AM17" si="14">VLOOKUP($AF6,$V$7:$AD$1048576,2,FALSE)/7</f>
        <v>1074.2857142857142</v>
      </c>
      <c r="AN6">
        <f t="shared" ref="AN6:AN17" si="15">VLOOKUP($AF6,$V$7:$AD$1048576,6,FALSE)/7</f>
        <v>2187.5714285714284</v>
      </c>
      <c r="AQ6" s="18" t="s">
        <v>251</v>
      </c>
      <c r="AR6" s="18" t="s">
        <v>42</v>
      </c>
      <c r="BB6" s="71" t="s">
        <v>44</v>
      </c>
      <c r="BC6">
        <f t="shared" ref="BC6:BC17" si="16">VLOOKUP(BB6, $AQ$8:$AY$1048576, 9, 0)/7</f>
        <v>18986.714285714286</v>
      </c>
      <c r="BD6">
        <f t="shared" ref="BD6:BD17" si="17">VLOOKUP(BB6, $AQ$8:$AY$1048576, 3, 0)/7</f>
        <v>2776.4285714285716</v>
      </c>
      <c r="BE6">
        <f t="shared" ref="BE6:BE17" si="18">VLOOKUP(BB6, $AQ$8:$AY$1048576, 4, 0)/7</f>
        <v>3184.4285714285716</v>
      </c>
      <c r="BF6">
        <f t="shared" ref="BF6:BF17" si="19">VLOOKUP(BB6, $AQ$8:$AY$1048576, 5, 0)/7</f>
        <v>3282.1428571428573</v>
      </c>
      <c r="BG6">
        <f t="shared" ref="BG6:BG17" si="20">VLOOKUP(BB6, $AQ$8:$AY$1048576, 7, 0)/7</f>
        <v>2610.5714285714284</v>
      </c>
      <c r="BH6">
        <f t="shared" ref="BH6:BH17" si="21">VLOOKUP(BB6, $AQ$8:$AY$1048576, 8, 0)/7</f>
        <v>1870.2857142857142</v>
      </c>
      <c r="BI6">
        <f t="shared" ref="BI6:BI17" si="22">VLOOKUP(BB6, $AQ$8:$AY$1048576, 2, 0)/7</f>
        <v>1840.2857142857142</v>
      </c>
      <c r="BJ6">
        <f t="shared" ref="BJ6:BJ17" si="23">VLOOKUP(BB6, $AQ$8:$AY$1048576, 6, 0)/7</f>
        <v>3422.5714285714284</v>
      </c>
    </row>
    <row r="7" spans="2:62" x14ac:dyDescent="0.35">
      <c r="B7" s="19" t="s">
        <v>43</v>
      </c>
      <c r="C7" s="2">
        <v>25046</v>
      </c>
      <c r="D7" s="2">
        <v>34512</v>
      </c>
      <c r="E7" s="2">
        <v>42940</v>
      </c>
      <c r="F7" s="2">
        <v>41451</v>
      </c>
      <c r="G7" s="2">
        <v>40740</v>
      </c>
      <c r="H7" s="2">
        <v>34201</v>
      </c>
      <c r="I7" s="2">
        <v>24207</v>
      </c>
      <c r="J7" s="2">
        <v>243097</v>
      </c>
      <c r="K7" s="2"/>
      <c r="L7" s="20" t="s">
        <v>45</v>
      </c>
      <c r="M7">
        <f t="shared" si="0"/>
        <v>36472.571428571428</v>
      </c>
      <c r="N7">
        <f t="shared" si="1"/>
        <v>5214.1428571428569</v>
      </c>
      <c r="O7">
        <f t="shared" si="2"/>
        <v>6337.1428571428569</v>
      </c>
      <c r="P7">
        <f t="shared" si="3"/>
        <v>6231</v>
      </c>
      <c r="Q7">
        <f t="shared" si="4"/>
        <v>5155.4285714285716</v>
      </c>
      <c r="R7">
        <f t="shared" si="5"/>
        <v>3713</v>
      </c>
      <c r="S7">
        <f t="shared" si="6"/>
        <v>3930.5714285714284</v>
      </c>
      <c r="T7">
        <f t="shared" si="7"/>
        <v>5891.2857142857147</v>
      </c>
      <c r="V7" s="19" t="s">
        <v>43</v>
      </c>
      <c r="W7" s="2">
        <v>7547</v>
      </c>
      <c r="X7" s="2">
        <v>12048</v>
      </c>
      <c r="Y7" s="2">
        <v>12489</v>
      </c>
      <c r="Z7" s="2">
        <v>13372</v>
      </c>
      <c r="AA7" s="2">
        <v>15494</v>
      </c>
      <c r="AB7" s="2">
        <v>10584</v>
      </c>
      <c r="AC7" s="2">
        <v>7818</v>
      </c>
      <c r="AD7" s="2">
        <v>79352</v>
      </c>
      <c r="AE7" s="2"/>
      <c r="AF7" s="20" t="s">
        <v>45</v>
      </c>
      <c r="AG7">
        <f t="shared" si="8"/>
        <v>11401.142857142857</v>
      </c>
      <c r="AH7">
        <f t="shared" si="9"/>
        <v>1770.5714285714287</v>
      </c>
      <c r="AI7">
        <f t="shared" si="10"/>
        <v>1826.2857142857142</v>
      </c>
      <c r="AJ7">
        <f t="shared" si="11"/>
        <v>1957.1428571428571</v>
      </c>
      <c r="AK7">
        <f t="shared" si="12"/>
        <v>1487</v>
      </c>
      <c r="AL7">
        <f t="shared" si="13"/>
        <v>1114</v>
      </c>
      <c r="AM7">
        <f t="shared" si="14"/>
        <v>1091</v>
      </c>
      <c r="AN7">
        <f t="shared" si="15"/>
        <v>2155.1428571428573</v>
      </c>
      <c r="AQ7" s="18" t="s">
        <v>38</v>
      </c>
      <c r="AR7" t="s">
        <v>291</v>
      </c>
      <c r="AS7" t="s">
        <v>1</v>
      </c>
      <c r="AT7" t="s">
        <v>226</v>
      </c>
      <c r="AU7" t="s">
        <v>258</v>
      </c>
      <c r="AV7" t="s">
        <v>255</v>
      </c>
      <c r="AW7" t="s">
        <v>223</v>
      </c>
      <c r="AX7" t="s">
        <v>224</v>
      </c>
      <c r="AY7" t="s">
        <v>39</v>
      </c>
      <c r="BB7" s="72" t="s">
        <v>45</v>
      </c>
      <c r="BC7">
        <f t="shared" si="16"/>
        <v>19415.857142857141</v>
      </c>
      <c r="BD7">
        <f t="shared" si="17"/>
        <v>2903.5714285714284</v>
      </c>
      <c r="BE7">
        <f t="shared" si="18"/>
        <v>3213.4285714285716</v>
      </c>
      <c r="BF7">
        <f t="shared" si="19"/>
        <v>3349.2857142857142</v>
      </c>
      <c r="BG7">
        <f t="shared" si="20"/>
        <v>2628</v>
      </c>
      <c r="BH7">
        <f t="shared" si="21"/>
        <v>1924</v>
      </c>
      <c r="BI7">
        <f t="shared" si="22"/>
        <v>1954.1428571428571</v>
      </c>
      <c r="BJ7">
        <f t="shared" si="23"/>
        <v>3443.4285714285716</v>
      </c>
    </row>
    <row r="8" spans="2:62" x14ac:dyDescent="0.35">
      <c r="B8" s="19" t="s">
        <v>52</v>
      </c>
      <c r="C8" s="2">
        <v>26478</v>
      </c>
      <c r="D8" s="2">
        <v>36264</v>
      </c>
      <c r="E8" s="2">
        <v>47133</v>
      </c>
      <c r="F8" s="2">
        <v>44371</v>
      </c>
      <c r="G8" s="2">
        <v>39883</v>
      </c>
      <c r="H8" s="2">
        <v>36492</v>
      </c>
      <c r="I8" s="2">
        <v>25556</v>
      </c>
      <c r="J8" s="2">
        <v>256177</v>
      </c>
      <c r="K8" s="2"/>
      <c r="L8" s="20" t="s">
        <v>46</v>
      </c>
      <c r="M8">
        <f t="shared" si="0"/>
        <v>34907.428571428572</v>
      </c>
      <c r="N8">
        <f t="shared" si="1"/>
        <v>4994.5714285714284</v>
      </c>
      <c r="O8">
        <f>VLOOKUP($L8,$B$7:$J$1048576,4,FALSE)/7</f>
        <v>6173.8571428571431</v>
      </c>
      <c r="P8">
        <f t="shared" si="3"/>
        <v>5847.4285714285716</v>
      </c>
      <c r="Q8">
        <f t="shared" si="4"/>
        <v>4952.4285714285716</v>
      </c>
      <c r="R8">
        <f t="shared" si="5"/>
        <v>3544.1428571428573</v>
      </c>
      <c r="S8">
        <f t="shared" si="6"/>
        <v>3854.4285714285716</v>
      </c>
      <c r="T8">
        <f t="shared" si="7"/>
        <v>5540.5714285714284</v>
      </c>
      <c r="V8" s="19" t="s">
        <v>52</v>
      </c>
      <c r="W8" s="2">
        <v>7681</v>
      </c>
      <c r="X8" s="2">
        <v>11843</v>
      </c>
      <c r="Y8" s="2">
        <v>13498</v>
      </c>
      <c r="Z8" s="2">
        <v>14079</v>
      </c>
      <c r="AA8" s="2">
        <v>14003</v>
      </c>
      <c r="AB8" s="2">
        <v>10690</v>
      </c>
      <c r="AC8" s="2">
        <v>8050</v>
      </c>
      <c r="AD8" s="2">
        <v>79844</v>
      </c>
      <c r="AE8" s="2"/>
      <c r="AF8" s="20" t="s">
        <v>46</v>
      </c>
      <c r="AG8">
        <f t="shared" si="8"/>
        <v>11233.285714285714</v>
      </c>
      <c r="AH8">
        <f t="shared" si="9"/>
        <v>1752.2857142857142</v>
      </c>
      <c r="AI8">
        <f t="shared" si="10"/>
        <v>1858.2857142857142</v>
      </c>
      <c r="AJ8">
        <f t="shared" si="11"/>
        <v>1852.5714285714287</v>
      </c>
      <c r="AK8">
        <f t="shared" si="12"/>
        <v>1457.8571428571429</v>
      </c>
      <c r="AL8">
        <f t="shared" si="13"/>
        <v>1138.5714285714287</v>
      </c>
      <c r="AM8">
        <f t="shared" si="14"/>
        <v>1100.2857142857142</v>
      </c>
      <c r="AN8">
        <f t="shared" si="15"/>
        <v>2073.4285714285716</v>
      </c>
      <c r="AQ8" s="19" t="s">
        <v>43</v>
      </c>
      <c r="AR8" s="2">
        <v>13122</v>
      </c>
      <c r="AS8" s="2">
        <v>18780</v>
      </c>
      <c r="AT8" s="2">
        <v>21846</v>
      </c>
      <c r="AU8" s="2">
        <v>22837</v>
      </c>
      <c r="AV8" s="2">
        <v>24179</v>
      </c>
      <c r="AW8" s="2">
        <v>17919</v>
      </c>
      <c r="AX8" s="2">
        <v>13092</v>
      </c>
      <c r="AY8" s="2">
        <v>131775</v>
      </c>
      <c r="AZ8" s="2"/>
      <c r="BB8" s="72" t="s">
        <v>46</v>
      </c>
      <c r="BC8">
        <f t="shared" si="16"/>
        <v>19112.714285714286</v>
      </c>
      <c r="BD8">
        <f t="shared" si="17"/>
        <v>2801.5714285714284</v>
      </c>
      <c r="BE8">
        <f t="shared" si="18"/>
        <v>3217.2857142857142</v>
      </c>
      <c r="BF8">
        <f t="shared" si="19"/>
        <v>3228</v>
      </c>
      <c r="BG8">
        <f t="shared" si="20"/>
        <v>2617</v>
      </c>
      <c r="BH8">
        <f t="shared" si="21"/>
        <v>1976.1428571428571</v>
      </c>
      <c r="BI8">
        <f t="shared" si="22"/>
        <v>2016</v>
      </c>
      <c r="BJ8">
        <f t="shared" si="23"/>
        <v>3256.7142857142858</v>
      </c>
    </row>
    <row r="9" spans="2:62" x14ac:dyDescent="0.35">
      <c r="B9" s="19" t="s">
        <v>53</v>
      </c>
      <c r="C9" s="2">
        <v>25911</v>
      </c>
      <c r="D9" s="2">
        <v>35111</v>
      </c>
      <c r="E9" s="2">
        <v>45458</v>
      </c>
      <c r="F9" s="2">
        <v>43700</v>
      </c>
      <c r="G9" s="2">
        <v>39350</v>
      </c>
      <c r="H9" s="2">
        <v>35361</v>
      </c>
      <c r="I9" s="2">
        <v>25043</v>
      </c>
      <c r="J9" s="2">
        <v>249934</v>
      </c>
      <c r="K9" s="2"/>
      <c r="L9" s="20" t="s">
        <v>47</v>
      </c>
      <c r="M9">
        <f t="shared" si="0"/>
        <v>36063.571428571428</v>
      </c>
      <c r="N9">
        <f t="shared" si="1"/>
        <v>5095</v>
      </c>
      <c r="O9">
        <f t="shared" si="2"/>
        <v>6443.8571428571431</v>
      </c>
      <c r="P9">
        <f t="shared" si="3"/>
        <v>5985.2857142857147</v>
      </c>
      <c r="Q9">
        <f t="shared" si="4"/>
        <v>5002</v>
      </c>
      <c r="R9">
        <f>VLOOKUP($L9,$B$7:$J$1048576,8,FALSE)/7</f>
        <v>3674.2857142857142</v>
      </c>
      <c r="S9">
        <f t="shared" si="6"/>
        <v>4051.7142857142858</v>
      </c>
      <c r="T9">
        <f t="shared" si="7"/>
        <v>5811.4285714285716</v>
      </c>
      <c r="V9" s="19" t="s">
        <v>53</v>
      </c>
      <c r="W9" s="2">
        <v>7510</v>
      </c>
      <c r="X9" s="2">
        <v>12458</v>
      </c>
      <c r="Y9" s="2">
        <v>13865</v>
      </c>
      <c r="Z9" s="2">
        <v>14398</v>
      </c>
      <c r="AA9" s="2">
        <v>14009</v>
      </c>
      <c r="AB9" s="2">
        <v>10665</v>
      </c>
      <c r="AC9" s="2">
        <v>8008</v>
      </c>
      <c r="AD9" s="2">
        <v>80913</v>
      </c>
      <c r="AE9" s="2"/>
      <c r="AF9" s="20" t="s">
        <v>47</v>
      </c>
      <c r="AG9">
        <f t="shared" si="8"/>
        <v>11928.142857142857</v>
      </c>
      <c r="AH9">
        <f t="shared" si="9"/>
        <v>1753.5714285714287</v>
      </c>
      <c r="AI9">
        <f t="shared" si="10"/>
        <v>2020.1428571428571</v>
      </c>
      <c r="AJ9">
        <f t="shared" si="11"/>
        <v>1956</v>
      </c>
      <c r="AK9">
        <f t="shared" si="12"/>
        <v>1526.5714285714287</v>
      </c>
      <c r="AL9">
        <f t="shared" si="13"/>
        <v>1257.4285714285713</v>
      </c>
      <c r="AM9">
        <f t="shared" si="14"/>
        <v>1220.4285714285713</v>
      </c>
      <c r="AN9">
        <f t="shared" si="15"/>
        <v>2194</v>
      </c>
      <c r="AQ9" s="19" t="s">
        <v>52</v>
      </c>
      <c r="AR9" s="2">
        <v>13443</v>
      </c>
      <c r="AS9" s="2">
        <v>19636</v>
      </c>
      <c r="AT9" s="2">
        <v>24102</v>
      </c>
      <c r="AU9" s="2">
        <v>24093</v>
      </c>
      <c r="AV9" s="2">
        <v>22575</v>
      </c>
      <c r="AW9" s="2">
        <v>19097</v>
      </c>
      <c r="AX9" s="2">
        <v>13712</v>
      </c>
      <c r="AY9" s="2">
        <v>136658</v>
      </c>
      <c r="AZ9" s="2"/>
      <c r="BB9" s="72" t="s">
        <v>47</v>
      </c>
      <c r="BC9">
        <f t="shared" si="16"/>
        <v>19970.857142857141</v>
      </c>
      <c r="BD9">
        <f t="shared" si="17"/>
        <v>2801.8571428571427</v>
      </c>
      <c r="BE9">
        <f t="shared" si="18"/>
        <v>3437.5714285714284</v>
      </c>
      <c r="BF9">
        <f t="shared" si="19"/>
        <v>3363.1428571428573</v>
      </c>
      <c r="BG9">
        <f t="shared" si="20"/>
        <v>2662.4285714285716</v>
      </c>
      <c r="BH9">
        <f t="shared" si="21"/>
        <v>2095.1428571428573</v>
      </c>
      <c r="BI9">
        <f t="shared" si="22"/>
        <v>2157.7142857142858</v>
      </c>
      <c r="BJ9">
        <f t="shared" si="23"/>
        <v>3453</v>
      </c>
    </row>
    <row r="10" spans="2:62" x14ac:dyDescent="0.35">
      <c r="B10" s="19" t="s">
        <v>54</v>
      </c>
      <c r="C10" s="2">
        <v>24738</v>
      </c>
      <c r="D10" s="2">
        <v>34243</v>
      </c>
      <c r="E10" s="2">
        <v>44342</v>
      </c>
      <c r="F10" s="2">
        <v>42970</v>
      </c>
      <c r="G10" s="2">
        <v>39205</v>
      </c>
      <c r="H10" s="2">
        <v>34654</v>
      </c>
      <c r="I10" s="2">
        <v>24773</v>
      </c>
      <c r="J10" s="2">
        <v>244925</v>
      </c>
      <c r="K10" s="2"/>
      <c r="L10" s="20" t="s">
        <v>48</v>
      </c>
      <c r="M10">
        <f t="shared" si="0"/>
        <v>37844.285714285717</v>
      </c>
      <c r="N10">
        <f t="shared" si="1"/>
        <v>5172.2857142857147</v>
      </c>
      <c r="O10">
        <f t="shared" si="2"/>
        <v>6736.1428571428569</v>
      </c>
      <c r="P10">
        <f t="shared" si="3"/>
        <v>6325.5714285714284</v>
      </c>
      <c r="Q10">
        <f t="shared" si="4"/>
        <v>5278</v>
      </c>
      <c r="R10">
        <f t="shared" si="5"/>
        <v>3918.7142857142858</v>
      </c>
      <c r="S10">
        <f t="shared" si="6"/>
        <v>4175.2857142857147</v>
      </c>
      <c r="T10">
        <f t="shared" si="7"/>
        <v>6238.2857142857147</v>
      </c>
      <c r="V10" s="19" t="s">
        <v>54</v>
      </c>
      <c r="W10" s="2">
        <v>7275</v>
      </c>
      <c r="X10" s="2">
        <v>12751</v>
      </c>
      <c r="Y10" s="2">
        <v>13764</v>
      </c>
      <c r="Z10" s="2">
        <v>14267</v>
      </c>
      <c r="AA10" s="2">
        <v>14231</v>
      </c>
      <c r="AB10" s="2">
        <v>10772</v>
      </c>
      <c r="AC10" s="2">
        <v>8037</v>
      </c>
      <c r="AD10" s="2">
        <v>81097</v>
      </c>
      <c r="AE10" s="2"/>
      <c r="AF10" s="20" t="s">
        <v>48</v>
      </c>
      <c r="AG10">
        <f t="shared" si="8"/>
        <v>12541</v>
      </c>
      <c r="AH10">
        <f t="shared" si="9"/>
        <v>1745.1428571428571</v>
      </c>
      <c r="AI10">
        <f t="shared" si="10"/>
        <v>2117.8571428571427</v>
      </c>
      <c r="AJ10">
        <f t="shared" si="11"/>
        <v>2121.1428571428573</v>
      </c>
      <c r="AK10">
        <f t="shared" si="12"/>
        <v>1615.1428571428571</v>
      </c>
      <c r="AL10">
        <f t="shared" si="13"/>
        <v>1317.5714285714287</v>
      </c>
      <c r="AM10">
        <f t="shared" si="14"/>
        <v>1282</v>
      </c>
      <c r="AN10">
        <f t="shared" si="15"/>
        <v>2342.1428571428573</v>
      </c>
      <c r="AQ10" s="19" t="s">
        <v>53</v>
      </c>
      <c r="AR10" s="2">
        <v>13255</v>
      </c>
      <c r="AS10" s="2">
        <v>19959</v>
      </c>
      <c r="AT10" s="2">
        <v>23893</v>
      </c>
      <c r="AU10" s="2">
        <v>23961</v>
      </c>
      <c r="AV10" s="2">
        <v>22602</v>
      </c>
      <c r="AW10" s="2">
        <v>18406</v>
      </c>
      <c r="AX10" s="2">
        <v>13585</v>
      </c>
      <c r="AY10" s="2">
        <v>135661</v>
      </c>
      <c r="AZ10" s="2"/>
      <c r="BB10" s="72" t="s">
        <v>48</v>
      </c>
      <c r="BC10">
        <f t="shared" si="16"/>
        <v>20653.714285714286</v>
      </c>
      <c r="BD10">
        <f t="shared" si="17"/>
        <v>2892.8571428571427</v>
      </c>
      <c r="BE10">
        <f t="shared" si="18"/>
        <v>3518.4285714285716</v>
      </c>
      <c r="BF10">
        <f t="shared" si="19"/>
        <v>3466.1428571428573</v>
      </c>
      <c r="BG10">
        <f t="shared" si="20"/>
        <v>2766.7142857142858</v>
      </c>
      <c r="BH10">
        <f t="shared" si="21"/>
        <v>2130.4285714285716</v>
      </c>
      <c r="BI10">
        <f t="shared" si="22"/>
        <v>2198</v>
      </c>
      <c r="BJ10">
        <f t="shared" si="23"/>
        <v>3681.1428571428573</v>
      </c>
    </row>
    <row r="11" spans="2:62" x14ac:dyDescent="0.35">
      <c r="B11" s="19" t="s">
        <v>55</v>
      </c>
      <c r="C11" s="2">
        <v>25193</v>
      </c>
      <c r="D11" s="2">
        <v>33912</v>
      </c>
      <c r="E11" s="2">
        <v>45403</v>
      </c>
      <c r="F11" s="2">
        <v>44095</v>
      </c>
      <c r="G11" s="2">
        <v>39520</v>
      </c>
      <c r="H11" s="2">
        <v>34697</v>
      </c>
      <c r="I11" s="2">
        <v>25192</v>
      </c>
      <c r="J11" s="2">
        <v>248012</v>
      </c>
      <c r="K11" s="2"/>
      <c r="L11" s="20" t="s">
        <v>49</v>
      </c>
      <c r="M11">
        <f t="shared" si="0"/>
        <v>37004.428571428572</v>
      </c>
      <c r="N11">
        <f t="shared" si="1"/>
        <v>4962.7142857142853</v>
      </c>
      <c r="O11">
        <f t="shared" si="2"/>
        <v>6705.2857142857147</v>
      </c>
      <c r="P11">
        <f t="shared" si="3"/>
        <v>6342.8571428571431</v>
      </c>
      <c r="Q11">
        <f t="shared" si="4"/>
        <v>5263.4285714285716</v>
      </c>
      <c r="R11">
        <f t="shared" si="5"/>
        <v>3825.4285714285716</v>
      </c>
      <c r="S11">
        <f t="shared" si="6"/>
        <v>3878.1428571428573</v>
      </c>
      <c r="T11">
        <f t="shared" si="7"/>
        <v>6026.5714285714284</v>
      </c>
      <c r="V11" s="19" t="s">
        <v>55</v>
      </c>
      <c r="W11" s="2">
        <v>7238</v>
      </c>
      <c r="X11" s="2">
        <v>12807</v>
      </c>
      <c r="Y11" s="2">
        <v>13697</v>
      </c>
      <c r="Z11" s="2">
        <v>14216</v>
      </c>
      <c r="AA11" s="2">
        <v>14332</v>
      </c>
      <c r="AB11" s="2">
        <v>10925</v>
      </c>
      <c r="AC11" s="2">
        <v>7708</v>
      </c>
      <c r="AD11" s="2">
        <v>80923</v>
      </c>
      <c r="AE11" s="2"/>
      <c r="AF11" s="20" t="s">
        <v>49</v>
      </c>
      <c r="AG11">
        <f t="shared" si="8"/>
        <v>11895.571428571429</v>
      </c>
      <c r="AH11">
        <f t="shared" si="9"/>
        <v>1611</v>
      </c>
      <c r="AI11">
        <f t="shared" si="10"/>
        <v>2038.2857142857142</v>
      </c>
      <c r="AJ11">
        <f t="shared" si="11"/>
        <v>1995.2857142857142</v>
      </c>
      <c r="AK11">
        <f t="shared" si="12"/>
        <v>1530.4285714285713</v>
      </c>
      <c r="AL11">
        <f t="shared" si="13"/>
        <v>1241.5714285714287</v>
      </c>
      <c r="AM11">
        <f t="shared" si="14"/>
        <v>1184</v>
      </c>
      <c r="AN11">
        <f t="shared" si="15"/>
        <v>2295</v>
      </c>
      <c r="AQ11" s="19" t="s">
        <v>54</v>
      </c>
      <c r="AR11" s="2">
        <v>12785</v>
      </c>
      <c r="AS11" s="2">
        <v>19929</v>
      </c>
      <c r="AT11" s="2">
        <v>23370</v>
      </c>
      <c r="AU11" s="2">
        <v>23509</v>
      </c>
      <c r="AV11" s="2">
        <v>22660</v>
      </c>
      <c r="AW11" s="2">
        <v>18815</v>
      </c>
      <c r="AX11" s="2">
        <v>13342</v>
      </c>
      <c r="AY11" s="2">
        <v>134410</v>
      </c>
      <c r="AZ11" s="2"/>
      <c r="BB11" s="72" t="s">
        <v>49</v>
      </c>
      <c r="BC11">
        <f t="shared" si="16"/>
        <v>19736</v>
      </c>
      <c r="BD11">
        <f t="shared" si="17"/>
        <v>2558.5714285714284</v>
      </c>
      <c r="BE11">
        <f t="shared" si="18"/>
        <v>3474.8571428571427</v>
      </c>
      <c r="BF11">
        <f t="shared" si="19"/>
        <v>3339.5714285714284</v>
      </c>
      <c r="BG11">
        <f t="shared" si="20"/>
        <v>2638</v>
      </c>
      <c r="BH11">
        <f t="shared" si="21"/>
        <v>2075.4285714285716</v>
      </c>
      <c r="BI11">
        <f t="shared" si="22"/>
        <v>2036.5714285714287</v>
      </c>
      <c r="BJ11">
        <f t="shared" si="23"/>
        <v>3613</v>
      </c>
    </row>
    <row r="12" spans="2:62" x14ac:dyDescent="0.35">
      <c r="B12" s="19" t="s">
        <v>44</v>
      </c>
      <c r="C12" s="2">
        <v>25876</v>
      </c>
      <c r="D12" s="2">
        <v>35373</v>
      </c>
      <c r="E12" s="2">
        <v>43746</v>
      </c>
      <c r="F12" s="2">
        <v>42461</v>
      </c>
      <c r="G12" s="2">
        <v>41020</v>
      </c>
      <c r="H12" s="2">
        <v>34856</v>
      </c>
      <c r="I12" s="2">
        <v>24977</v>
      </c>
      <c r="J12" s="2">
        <v>248309</v>
      </c>
      <c r="K12" s="2"/>
      <c r="L12" s="20" t="s">
        <v>50</v>
      </c>
      <c r="M12">
        <f t="shared" si="0"/>
        <v>36503.571428571428</v>
      </c>
      <c r="N12">
        <f t="shared" si="1"/>
        <v>5037.4285714285716</v>
      </c>
      <c r="O12">
        <f t="shared" si="2"/>
        <v>6594.1428571428569</v>
      </c>
      <c r="P12">
        <f t="shared" si="3"/>
        <v>6300</v>
      </c>
      <c r="Q12">
        <f t="shared" si="4"/>
        <v>5146.1428571428569</v>
      </c>
      <c r="R12">
        <f t="shared" si="5"/>
        <v>3731.7142857142858</v>
      </c>
      <c r="S12">
        <f t="shared" si="6"/>
        <v>3826</v>
      </c>
      <c r="T12">
        <f t="shared" si="7"/>
        <v>5868.1428571428569</v>
      </c>
      <c r="V12" s="19" t="s">
        <v>44</v>
      </c>
      <c r="W12" s="2">
        <v>7520</v>
      </c>
      <c r="X12" s="2">
        <v>12194</v>
      </c>
      <c r="Y12" s="2">
        <v>12821</v>
      </c>
      <c r="Z12" s="2">
        <v>13622</v>
      </c>
      <c r="AA12" s="2">
        <v>15313</v>
      </c>
      <c r="AB12" s="2">
        <v>10517</v>
      </c>
      <c r="AC12" s="2">
        <v>7891</v>
      </c>
      <c r="AD12" s="2">
        <v>79878</v>
      </c>
      <c r="AE12" s="2"/>
      <c r="AF12" s="20" t="s">
        <v>50</v>
      </c>
      <c r="AG12">
        <f t="shared" si="8"/>
        <v>11374</v>
      </c>
      <c r="AH12">
        <f t="shared" si="9"/>
        <v>1511.8571428571429</v>
      </c>
      <c r="AI12">
        <f t="shared" si="10"/>
        <v>1987</v>
      </c>
      <c r="AJ12">
        <f t="shared" si="11"/>
        <v>1956.8571428571429</v>
      </c>
      <c r="AK12">
        <f t="shared" si="12"/>
        <v>1451.2857142857142</v>
      </c>
      <c r="AL12">
        <f t="shared" si="13"/>
        <v>1176.5714285714287</v>
      </c>
      <c r="AM12">
        <f t="shared" si="14"/>
        <v>1088.4285714285713</v>
      </c>
      <c r="AN12">
        <f t="shared" si="15"/>
        <v>2202</v>
      </c>
      <c r="AQ12" s="19" t="s">
        <v>55</v>
      </c>
      <c r="AR12" s="2">
        <v>12619</v>
      </c>
      <c r="AS12" s="2">
        <v>19476</v>
      </c>
      <c r="AT12" s="2">
        <v>23046</v>
      </c>
      <c r="AU12" s="2">
        <v>23889</v>
      </c>
      <c r="AV12" s="2">
        <v>22575</v>
      </c>
      <c r="AW12" s="2">
        <v>18248</v>
      </c>
      <c r="AX12" s="2">
        <v>12849</v>
      </c>
      <c r="AY12" s="2">
        <v>132702</v>
      </c>
      <c r="AZ12" s="2"/>
      <c r="BB12" s="72" t="s">
        <v>50</v>
      </c>
      <c r="BC12">
        <f t="shared" si="16"/>
        <v>19302.285714285714</v>
      </c>
      <c r="BD12">
        <f t="shared" si="17"/>
        <v>2577.4285714285716</v>
      </c>
      <c r="BE12">
        <f t="shared" si="18"/>
        <v>3398.4285714285716</v>
      </c>
      <c r="BF12">
        <f t="shared" si="19"/>
        <v>3367.7142857142858</v>
      </c>
      <c r="BG12">
        <f t="shared" si="20"/>
        <v>2643.7142857142858</v>
      </c>
      <c r="BH12">
        <f t="shared" si="21"/>
        <v>2001.1428571428571</v>
      </c>
      <c r="BI12">
        <f t="shared" si="22"/>
        <v>1933.7142857142858</v>
      </c>
      <c r="BJ12">
        <f t="shared" si="23"/>
        <v>3380.1428571428573</v>
      </c>
    </row>
    <row r="13" spans="2:62" x14ac:dyDescent="0.35">
      <c r="B13" s="19" t="s">
        <v>45</v>
      </c>
      <c r="C13" s="2">
        <v>27514</v>
      </c>
      <c r="D13" s="2">
        <v>36499</v>
      </c>
      <c r="E13" s="2">
        <v>44360</v>
      </c>
      <c r="F13" s="2">
        <v>43617</v>
      </c>
      <c r="G13" s="2">
        <v>41239</v>
      </c>
      <c r="H13" s="2">
        <v>36088</v>
      </c>
      <c r="I13" s="2">
        <v>25991</v>
      </c>
      <c r="J13" s="2">
        <v>255308</v>
      </c>
      <c r="K13" s="2"/>
      <c r="L13" s="20" t="s">
        <v>51</v>
      </c>
      <c r="M13">
        <f t="shared" si="0"/>
        <v>36763.285714285717</v>
      </c>
      <c r="N13">
        <f t="shared" si="1"/>
        <v>5055.8571428571431</v>
      </c>
      <c r="O13">
        <f t="shared" si="2"/>
        <v>6770.8571428571431</v>
      </c>
      <c r="P13">
        <f t="shared" si="3"/>
        <v>6377.1428571428569</v>
      </c>
      <c r="Q13">
        <f t="shared" si="4"/>
        <v>5275</v>
      </c>
      <c r="R13">
        <f t="shared" si="5"/>
        <v>3638.4285714285716</v>
      </c>
      <c r="S13">
        <f t="shared" si="6"/>
        <v>3829.7142857142858</v>
      </c>
      <c r="T13">
        <f t="shared" si="7"/>
        <v>5816.2857142857147</v>
      </c>
      <c r="V13" s="19" t="s">
        <v>45</v>
      </c>
      <c r="W13" s="2">
        <v>7637</v>
      </c>
      <c r="X13" s="2">
        <v>12394</v>
      </c>
      <c r="Y13" s="2">
        <v>12784</v>
      </c>
      <c r="Z13" s="2">
        <v>13700</v>
      </c>
      <c r="AA13" s="2">
        <v>15086</v>
      </c>
      <c r="AB13" s="2">
        <v>10409</v>
      </c>
      <c r="AC13" s="2">
        <v>7798</v>
      </c>
      <c r="AD13" s="2">
        <v>79808</v>
      </c>
      <c r="AE13" s="2"/>
      <c r="AF13" s="20" t="s">
        <v>51</v>
      </c>
      <c r="AG13">
        <f t="shared" si="8"/>
        <v>11252.428571428571</v>
      </c>
      <c r="AH13">
        <f t="shared" si="9"/>
        <v>1571</v>
      </c>
      <c r="AI13">
        <f t="shared" si="10"/>
        <v>1966.5714285714287</v>
      </c>
      <c r="AJ13">
        <f t="shared" si="11"/>
        <v>1971.5714285714287</v>
      </c>
      <c r="AK13">
        <f t="shared" si="12"/>
        <v>1484.4285714285713</v>
      </c>
      <c r="AL13">
        <f t="shared" si="13"/>
        <v>1130.2857142857142</v>
      </c>
      <c r="AM13">
        <f t="shared" si="14"/>
        <v>1084.5714285714287</v>
      </c>
      <c r="AN13">
        <f t="shared" si="15"/>
        <v>2044</v>
      </c>
      <c r="AQ13" s="19" t="s">
        <v>44</v>
      </c>
      <c r="AR13" s="2">
        <v>12882</v>
      </c>
      <c r="AS13" s="2">
        <v>19435</v>
      </c>
      <c r="AT13" s="2">
        <v>22291</v>
      </c>
      <c r="AU13" s="2">
        <v>22975</v>
      </c>
      <c r="AV13" s="2">
        <v>23958</v>
      </c>
      <c r="AW13" s="2">
        <v>18274</v>
      </c>
      <c r="AX13" s="2">
        <v>13092</v>
      </c>
      <c r="AY13" s="2">
        <v>132907</v>
      </c>
      <c r="AZ13" s="2"/>
      <c r="BB13" s="72" t="s">
        <v>51</v>
      </c>
      <c r="BC13">
        <f t="shared" si="16"/>
        <v>19256.285714285714</v>
      </c>
      <c r="BD13">
        <f t="shared" si="17"/>
        <v>2648.8571428571427</v>
      </c>
      <c r="BE13">
        <f t="shared" si="18"/>
        <v>3407.5714285714284</v>
      </c>
      <c r="BF13">
        <f t="shared" si="19"/>
        <v>3419.1428571428573</v>
      </c>
      <c r="BG13">
        <f t="shared" si="20"/>
        <v>2660.8571428571427</v>
      </c>
      <c r="BH13">
        <f t="shared" si="21"/>
        <v>1937.4285714285713</v>
      </c>
      <c r="BI13">
        <f t="shared" si="22"/>
        <v>1960</v>
      </c>
      <c r="BJ13">
        <f t="shared" si="23"/>
        <v>3222.4285714285716</v>
      </c>
    </row>
    <row r="14" spans="2:62" x14ac:dyDescent="0.35">
      <c r="B14" s="19" t="s">
        <v>46</v>
      </c>
      <c r="C14" s="2">
        <v>26981</v>
      </c>
      <c r="D14" s="2">
        <v>34962</v>
      </c>
      <c r="E14" s="2">
        <v>43217</v>
      </c>
      <c r="F14" s="2">
        <v>40932</v>
      </c>
      <c r="G14" s="2">
        <v>38784</v>
      </c>
      <c r="H14" s="2">
        <v>34667</v>
      </c>
      <c r="I14" s="2">
        <v>24809</v>
      </c>
      <c r="J14" s="2">
        <v>244352</v>
      </c>
      <c r="K14" s="2"/>
      <c r="L14" s="20" t="s">
        <v>52</v>
      </c>
      <c r="M14">
        <f t="shared" si="0"/>
        <v>36596.714285714283</v>
      </c>
      <c r="N14">
        <f t="shared" si="1"/>
        <v>5180.5714285714284</v>
      </c>
      <c r="O14">
        <f t="shared" si="2"/>
        <v>6733.2857142857147</v>
      </c>
      <c r="P14">
        <f t="shared" si="3"/>
        <v>6338.7142857142853</v>
      </c>
      <c r="Q14">
        <f t="shared" si="4"/>
        <v>5213.1428571428569</v>
      </c>
      <c r="R14">
        <f t="shared" si="5"/>
        <v>3650.8571428571427</v>
      </c>
      <c r="S14">
        <f t="shared" si="6"/>
        <v>3782.5714285714284</v>
      </c>
      <c r="T14">
        <f t="shared" si="7"/>
        <v>5697.5714285714284</v>
      </c>
      <c r="V14" s="19" t="s">
        <v>46</v>
      </c>
      <c r="W14" s="2">
        <v>7702</v>
      </c>
      <c r="X14" s="2">
        <v>12266</v>
      </c>
      <c r="Y14" s="2">
        <v>13008</v>
      </c>
      <c r="Z14" s="2">
        <v>12968</v>
      </c>
      <c r="AA14" s="2">
        <v>14514</v>
      </c>
      <c r="AB14" s="2">
        <v>10205</v>
      </c>
      <c r="AC14" s="2">
        <v>7970</v>
      </c>
      <c r="AD14" s="2">
        <v>78633</v>
      </c>
      <c r="AE14" s="2"/>
      <c r="AF14" s="20" t="s">
        <v>52</v>
      </c>
      <c r="AG14">
        <f t="shared" si="8"/>
        <v>11406.285714285714</v>
      </c>
      <c r="AH14">
        <f t="shared" si="9"/>
        <v>1691.8571428571429</v>
      </c>
      <c r="AI14">
        <f t="shared" si="10"/>
        <v>1928.2857142857142</v>
      </c>
      <c r="AJ14">
        <f t="shared" si="11"/>
        <v>2011.2857142857142</v>
      </c>
      <c r="AK14">
        <f t="shared" si="12"/>
        <v>1527.1428571428571</v>
      </c>
      <c r="AL14">
        <f t="shared" si="13"/>
        <v>1150</v>
      </c>
      <c r="AM14">
        <f t="shared" si="14"/>
        <v>1097.2857142857142</v>
      </c>
      <c r="AN14">
        <f t="shared" si="15"/>
        <v>2000.4285714285713</v>
      </c>
      <c r="AQ14" s="19" t="s">
        <v>45</v>
      </c>
      <c r="AR14" s="2">
        <v>13679</v>
      </c>
      <c r="AS14" s="2">
        <v>20325</v>
      </c>
      <c r="AT14" s="2">
        <v>22494</v>
      </c>
      <c r="AU14" s="2">
        <v>23445</v>
      </c>
      <c r="AV14" s="2">
        <v>24104</v>
      </c>
      <c r="AW14" s="2">
        <v>18396</v>
      </c>
      <c r="AX14" s="2">
        <v>13468</v>
      </c>
      <c r="AY14" s="2">
        <v>135911</v>
      </c>
      <c r="AZ14" s="2"/>
      <c r="BB14" s="72" t="s">
        <v>52</v>
      </c>
      <c r="BC14">
        <f t="shared" si="16"/>
        <v>19522.571428571428</v>
      </c>
      <c r="BD14">
        <f t="shared" si="17"/>
        <v>2805.1428571428573</v>
      </c>
      <c r="BE14">
        <f t="shared" si="18"/>
        <v>3443.1428571428573</v>
      </c>
      <c r="BF14">
        <f t="shared" si="19"/>
        <v>3441.8571428571427</v>
      </c>
      <c r="BG14">
        <f t="shared" si="20"/>
        <v>2728.1428571428573</v>
      </c>
      <c r="BH14">
        <f t="shared" si="21"/>
        <v>1958.8571428571429</v>
      </c>
      <c r="BI14">
        <f t="shared" si="22"/>
        <v>1920.4285714285713</v>
      </c>
      <c r="BJ14">
        <f t="shared" si="23"/>
        <v>3225</v>
      </c>
    </row>
    <row r="15" spans="2:62" x14ac:dyDescent="0.35">
      <c r="B15" s="19" t="s">
        <v>47</v>
      </c>
      <c r="C15" s="2">
        <v>28362</v>
      </c>
      <c r="D15" s="2">
        <v>35665</v>
      </c>
      <c r="E15" s="2">
        <v>45107</v>
      </c>
      <c r="F15" s="2">
        <v>41897</v>
      </c>
      <c r="G15" s="2">
        <v>40680</v>
      </c>
      <c r="H15" s="2">
        <v>35014</v>
      </c>
      <c r="I15" s="2">
        <v>25720</v>
      </c>
      <c r="J15" s="2">
        <v>252445</v>
      </c>
      <c r="K15" s="2"/>
      <c r="L15" s="20" t="s">
        <v>53</v>
      </c>
      <c r="M15">
        <f t="shared" si="0"/>
        <v>35704.857142857145</v>
      </c>
      <c r="N15">
        <f t="shared" si="1"/>
        <v>5015.8571428571431</v>
      </c>
      <c r="O15">
        <f t="shared" si="2"/>
        <v>6494</v>
      </c>
      <c r="P15">
        <f t="shared" si="3"/>
        <v>6242.8571428571431</v>
      </c>
      <c r="Q15">
        <f t="shared" si="4"/>
        <v>5051.5714285714284</v>
      </c>
      <c r="R15">
        <f t="shared" si="5"/>
        <v>3577.5714285714284</v>
      </c>
      <c r="S15">
        <f t="shared" si="6"/>
        <v>3701.5714285714284</v>
      </c>
      <c r="T15">
        <f t="shared" si="7"/>
        <v>5621.4285714285716</v>
      </c>
      <c r="V15" s="19" t="s">
        <v>47</v>
      </c>
      <c r="W15" s="2">
        <v>8543</v>
      </c>
      <c r="X15" s="2">
        <v>12275</v>
      </c>
      <c r="Y15" s="2">
        <v>14141</v>
      </c>
      <c r="Z15" s="2">
        <v>13692</v>
      </c>
      <c r="AA15" s="2">
        <v>15358</v>
      </c>
      <c r="AB15" s="2">
        <v>10686</v>
      </c>
      <c r="AC15" s="2">
        <v>8802</v>
      </c>
      <c r="AD15" s="2">
        <v>83497</v>
      </c>
      <c r="AE15" s="2"/>
      <c r="AF15" s="20" t="s">
        <v>53</v>
      </c>
      <c r="AG15">
        <f t="shared" si="8"/>
        <v>11559</v>
      </c>
      <c r="AH15">
        <f t="shared" si="9"/>
        <v>1779.7142857142858</v>
      </c>
      <c r="AI15">
        <f t="shared" si="10"/>
        <v>1980.7142857142858</v>
      </c>
      <c r="AJ15">
        <f t="shared" si="11"/>
        <v>2056.8571428571427</v>
      </c>
      <c r="AK15">
        <f t="shared" si="12"/>
        <v>1523.5714285714287</v>
      </c>
      <c r="AL15">
        <f t="shared" si="13"/>
        <v>1144</v>
      </c>
      <c r="AM15">
        <f t="shared" si="14"/>
        <v>1072.8571428571429</v>
      </c>
      <c r="AN15">
        <f t="shared" si="15"/>
        <v>2001.2857142857142</v>
      </c>
      <c r="AQ15" s="19" t="s">
        <v>46</v>
      </c>
      <c r="AR15" s="2">
        <v>14112</v>
      </c>
      <c r="AS15" s="2">
        <v>19611</v>
      </c>
      <c r="AT15" s="2">
        <v>22521</v>
      </c>
      <c r="AU15" s="2">
        <v>22596</v>
      </c>
      <c r="AV15" s="2">
        <v>22797</v>
      </c>
      <c r="AW15" s="2">
        <v>18319</v>
      </c>
      <c r="AX15" s="2">
        <v>13833</v>
      </c>
      <c r="AY15" s="2">
        <v>133789</v>
      </c>
      <c r="AZ15" s="2"/>
      <c r="BB15" s="72" t="s">
        <v>53</v>
      </c>
      <c r="BC15">
        <f t="shared" si="16"/>
        <v>19380.142857142859</v>
      </c>
      <c r="BD15">
        <f t="shared" si="17"/>
        <v>2851.2857142857142</v>
      </c>
      <c r="BE15">
        <f t="shared" si="18"/>
        <v>3413.2857142857142</v>
      </c>
      <c r="BF15">
        <f t="shared" si="19"/>
        <v>3423</v>
      </c>
      <c r="BG15">
        <f t="shared" si="20"/>
        <v>2629.4285714285716</v>
      </c>
      <c r="BH15">
        <f t="shared" si="21"/>
        <v>1940.7142857142858</v>
      </c>
      <c r="BI15">
        <f t="shared" si="22"/>
        <v>1893.5714285714287</v>
      </c>
      <c r="BJ15">
        <f t="shared" si="23"/>
        <v>3228.8571428571427</v>
      </c>
    </row>
    <row r="16" spans="2:62" x14ac:dyDescent="0.35">
      <c r="B16" s="19" t="s">
        <v>48</v>
      </c>
      <c r="C16" s="2">
        <v>29227</v>
      </c>
      <c r="D16" s="2">
        <v>36206</v>
      </c>
      <c r="E16" s="2">
        <v>47153</v>
      </c>
      <c r="F16" s="2">
        <v>44279</v>
      </c>
      <c r="G16" s="2">
        <v>43668</v>
      </c>
      <c r="H16" s="2">
        <v>36946</v>
      </c>
      <c r="I16" s="2">
        <v>27431</v>
      </c>
      <c r="J16" s="2">
        <v>264910</v>
      </c>
      <c r="K16" s="2"/>
      <c r="L16" s="20" t="s">
        <v>54</v>
      </c>
      <c r="M16">
        <f>VLOOKUP($L16,$B$7:$J$1048576,9,FALSE)/7</f>
        <v>34989.285714285717</v>
      </c>
      <c r="N16">
        <f t="shared" si="1"/>
        <v>4891.8571428571431</v>
      </c>
      <c r="O16">
        <f t="shared" si="2"/>
        <v>6334.5714285714284</v>
      </c>
      <c r="P16">
        <f t="shared" si="3"/>
        <v>6138.5714285714284</v>
      </c>
      <c r="Q16">
        <f t="shared" si="4"/>
        <v>4950.5714285714284</v>
      </c>
      <c r="R16">
        <f t="shared" si="5"/>
        <v>3539</v>
      </c>
      <c r="S16">
        <f t="shared" si="6"/>
        <v>3534</v>
      </c>
      <c r="T16">
        <f t="shared" si="7"/>
        <v>5600.7142857142853</v>
      </c>
      <c r="V16" s="19" t="s">
        <v>48</v>
      </c>
      <c r="W16" s="2">
        <v>8974</v>
      </c>
      <c r="X16" s="2">
        <v>12216</v>
      </c>
      <c r="Y16" s="2">
        <v>14825</v>
      </c>
      <c r="Z16" s="2">
        <v>14848</v>
      </c>
      <c r="AA16" s="2">
        <v>16395</v>
      </c>
      <c r="AB16" s="2">
        <v>11306</v>
      </c>
      <c r="AC16" s="2">
        <v>9223</v>
      </c>
      <c r="AD16" s="2">
        <v>87787</v>
      </c>
      <c r="AE16" s="2"/>
      <c r="AF16" s="20" t="s">
        <v>54</v>
      </c>
      <c r="AG16">
        <f t="shared" si="8"/>
        <v>11585.285714285714</v>
      </c>
      <c r="AH16">
        <f t="shared" si="9"/>
        <v>1821.5714285714287</v>
      </c>
      <c r="AI16">
        <f t="shared" si="10"/>
        <v>1966.2857142857142</v>
      </c>
      <c r="AJ16">
        <f t="shared" si="11"/>
        <v>2038.1428571428571</v>
      </c>
      <c r="AK16">
        <f t="shared" si="12"/>
        <v>1538.8571428571429</v>
      </c>
      <c r="AL16">
        <f t="shared" si="13"/>
        <v>1148.1428571428571</v>
      </c>
      <c r="AM16">
        <f t="shared" si="14"/>
        <v>1039.2857142857142</v>
      </c>
      <c r="AN16">
        <f t="shared" si="15"/>
        <v>2033</v>
      </c>
      <c r="AQ16" s="19" t="s">
        <v>47</v>
      </c>
      <c r="AR16" s="2">
        <v>15104</v>
      </c>
      <c r="AS16" s="2">
        <v>19613</v>
      </c>
      <c r="AT16" s="2">
        <v>24063</v>
      </c>
      <c r="AU16" s="2">
        <v>23542</v>
      </c>
      <c r="AV16" s="2">
        <v>24171</v>
      </c>
      <c r="AW16" s="2">
        <v>18637</v>
      </c>
      <c r="AX16" s="2">
        <v>14666</v>
      </c>
      <c r="AY16" s="2">
        <v>139796</v>
      </c>
      <c r="AZ16" s="2"/>
      <c r="BB16" s="72" t="s">
        <v>54</v>
      </c>
      <c r="BC16">
        <f t="shared" si="16"/>
        <v>19201.428571428572</v>
      </c>
      <c r="BD16">
        <f t="shared" si="17"/>
        <v>2847</v>
      </c>
      <c r="BE16">
        <f t="shared" si="18"/>
        <v>3338.5714285714284</v>
      </c>
      <c r="BF16">
        <f t="shared" si="19"/>
        <v>3358.4285714285716</v>
      </c>
      <c r="BG16">
        <f t="shared" si="20"/>
        <v>2687.8571428571427</v>
      </c>
      <c r="BH16">
        <f t="shared" si="21"/>
        <v>1906</v>
      </c>
      <c r="BI16">
        <f t="shared" si="22"/>
        <v>1826.4285714285713</v>
      </c>
      <c r="BJ16">
        <f t="shared" si="23"/>
        <v>3237.1428571428573</v>
      </c>
    </row>
    <row r="17" spans="2:62" x14ac:dyDescent="0.35">
      <c r="B17" s="19" t="s">
        <v>49</v>
      </c>
      <c r="C17" s="2">
        <v>27147</v>
      </c>
      <c r="D17" s="2">
        <v>34739</v>
      </c>
      <c r="E17" s="2">
        <v>46937</v>
      </c>
      <c r="F17" s="2">
        <v>44400</v>
      </c>
      <c r="G17" s="2">
        <v>42186</v>
      </c>
      <c r="H17" s="2">
        <v>36844</v>
      </c>
      <c r="I17" s="2">
        <v>26778</v>
      </c>
      <c r="J17" s="2">
        <v>259031</v>
      </c>
      <c r="K17" s="2"/>
      <c r="L17" s="20" t="s">
        <v>55</v>
      </c>
      <c r="M17">
        <f t="shared" si="0"/>
        <v>35430.285714285717</v>
      </c>
      <c r="N17">
        <f t="shared" si="1"/>
        <v>4844.5714285714284</v>
      </c>
      <c r="O17">
        <f t="shared" si="2"/>
        <v>6486.1428571428569</v>
      </c>
      <c r="P17">
        <f t="shared" si="3"/>
        <v>6299.2857142857147</v>
      </c>
      <c r="Q17">
        <f t="shared" si="4"/>
        <v>4956.7142857142853</v>
      </c>
      <c r="R17">
        <f t="shared" si="5"/>
        <v>3598.8571428571427</v>
      </c>
      <c r="S17">
        <f t="shared" si="6"/>
        <v>3599</v>
      </c>
      <c r="T17">
        <f t="shared" si="7"/>
        <v>5645.7142857142853</v>
      </c>
      <c r="V17" s="19" t="s">
        <v>49</v>
      </c>
      <c r="W17" s="2">
        <v>8288</v>
      </c>
      <c r="X17" s="2">
        <v>11277</v>
      </c>
      <c r="Y17" s="2">
        <v>14268</v>
      </c>
      <c r="Z17" s="2">
        <v>13967</v>
      </c>
      <c r="AA17" s="2">
        <v>16065</v>
      </c>
      <c r="AB17" s="2">
        <v>10713</v>
      </c>
      <c r="AC17" s="2">
        <v>8691</v>
      </c>
      <c r="AD17" s="2">
        <v>83269</v>
      </c>
      <c r="AE17" s="2"/>
      <c r="AF17" s="20" t="s">
        <v>55</v>
      </c>
      <c r="AG17">
        <f t="shared" si="8"/>
        <v>11560.428571428571</v>
      </c>
      <c r="AH17">
        <f t="shared" si="9"/>
        <v>1829.5714285714287</v>
      </c>
      <c r="AI17">
        <f t="shared" si="10"/>
        <v>1956.7142857142858</v>
      </c>
      <c r="AJ17">
        <f t="shared" si="11"/>
        <v>2030.8571428571429</v>
      </c>
      <c r="AK17">
        <f t="shared" si="12"/>
        <v>1560.7142857142858</v>
      </c>
      <c r="AL17">
        <f t="shared" si="13"/>
        <v>1101.1428571428571</v>
      </c>
      <c r="AM17">
        <f t="shared" si="14"/>
        <v>1034</v>
      </c>
      <c r="AN17">
        <f t="shared" si="15"/>
        <v>2047.4285714285713</v>
      </c>
      <c r="AQ17" s="19" t="s">
        <v>48</v>
      </c>
      <c r="AR17" s="2">
        <v>15386</v>
      </c>
      <c r="AS17" s="2">
        <v>20250</v>
      </c>
      <c r="AT17" s="2">
        <v>24629</v>
      </c>
      <c r="AU17" s="2">
        <v>24263</v>
      </c>
      <c r="AV17" s="2">
        <v>25768</v>
      </c>
      <c r="AW17" s="2">
        <v>19367</v>
      </c>
      <c r="AX17" s="2">
        <v>14913</v>
      </c>
      <c r="AY17" s="2">
        <v>144576</v>
      </c>
      <c r="AZ17" s="2"/>
      <c r="BB17" s="72" t="s">
        <v>55</v>
      </c>
      <c r="BC17">
        <f t="shared" si="16"/>
        <v>18957.428571428572</v>
      </c>
      <c r="BD17">
        <f t="shared" si="17"/>
        <v>2782.2857142857142</v>
      </c>
      <c r="BE17">
        <f t="shared" si="18"/>
        <v>3292.2857142857142</v>
      </c>
      <c r="BF17">
        <f t="shared" si="19"/>
        <v>3412.7142857142858</v>
      </c>
      <c r="BG17">
        <f t="shared" si="20"/>
        <v>2606.8571428571427</v>
      </c>
      <c r="BH17">
        <f t="shared" si="21"/>
        <v>1835.5714285714287</v>
      </c>
      <c r="BI17">
        <f t="shared" si="22"/>
        <v>1802.7142857142858</v>
      </c>
      <c r="BJ17">
        <f t="shared" si="23"/>
        <v>3225</v>
      </c>
    </row>
    <row r="18" spans="2:62" x14ac:dyDescent="0.35">
      <c r="B18" s="19" t="s">
        <v>50</v>
      </c>
      <c r="C18" s="2">
        <v>26782</v>
      </c>
      <c r="D18" s="2">
        <v>35262</v>
      </c>
      <c r="E18" s="2">
        <v>46159</v>
      </c>
      <c r="F18" s="2">
        <v>44100</v>
      </c>
      <c r="G18" s="2">
        <v>41077</v>
      </c>
      <c r="H18" s="2">
        <v>36023</v>
      </c>
      <c r="I18" s="2">
        <v>26122</v>
      </c>
      <c r="J18" s="2">
        <v>255525</v>
      </c>
      <c r="K18" s="2"/>
      <c r="L18" s="20"/>
      <c r="V18" s="19" t="s">
        <v>50</v>
      </c>
      <c r="W18" s="2">
        <v>7619</v>
      </c>
      <c r="X18" s="2">
        <v>10583</v>
      </c>
      <c r="Y18" s="2">
        <v>13909</v>
      </c>
      <c r="Z18" s="2">
        <v>13698</v>
      </c>
      <c r="AA18" s="2">
        <v>15414</v>
      </c>
      <c r="AB18" s="2">
        <v>10159</v>
      </c>
      <c r="AC18" s="2">
        <v>8236</v>
      </c>
      <c r="AD18" s="2">
        <v>79618</v>
      </c>
      <c r="AE18" s="2"/>
      <c r="AF18" s="20"/>
      <c r="AQ18" s="19" t="s">
        <v>49</v>
      </c>
      <c r="AR18" s="2">
        <v>14256</v>
      </c>
      <c r="AS18" s="2">
        <v>17910</v>
      </c>
      <c r="AT18" s="2">
        <v>24324</v>
      </c>
      <c r="AU18" s="2">
        <v>23377</v>
      </c>
      <c r="AV18" s="2">
        <v>25291</v>
      </c>
      <c r="AW18" s="2">
        <v>18466</v>
      </c>
      <c r="AX18" s="2">
        <v>14528</v>
      </c>
      <c r="AY18" s="2">
        <v>138152</v>
      </c>
      <c r="AZ18" s="2"/>
      <c r="BB18" s="72"/>
    </row>
    <row r="19" spans="2:62" x14ac:dyDescent="0.35">
      <c r="B19" s="19" t="s">
        <v>51</v>
      </c>
      <c r="C19" s="2">
        <v>26808</v>
      </c>
      <c r="D19" s="2">
        <v>35391</v>
      </c>
      <c r="E19" s="2">
        <v>47396</v>
      </c>
      <c r="F19" s="2">
        <v>44640</v>
      </c>
      <c r="G19" s="2">
        <v>40714</v>
      </c>
      <c r="H19" s="2">
        <v>36925</v>
      </c>
      <c r="I19" s="2">
        <v>25469</v>
      </c>
      <c r="J19" s="2">
        <v>257343</v>
      </c>
      <c r="K19" s="2"/>
      <c r="V19" s="19" t="s">
        <v>51</v>
      </c>
      <c r="W19" s="2">
        <v>7592</v>
      </c>
      <c r="X19" s="2">
        <v>10997</v>
      </c>
      <c r="Y19" s="2">
        <v>13766</v>
      </c>
      <c r="Z19" s="2">
        <v>13801</v>
      </c>
      <c r="AA19" s="2">
        <v>14308</v>
      </c>
      <c r="AB19" s="2">
        <v>10391</v>
      </c>
      <c r="AC19" s="2">
        <v>7912</v>
      </c>
      <c r="AD19" s="2">
        <v>78767</v>
      </c>
      <c r="AE19" s="2"/>
      <c r="AQ19" s="19" t="s">
        <v>50</v>
      </c>
      <c r="AR19" s="2">
        <v>13536</v>
      </c>
      <c r="AS19" s="2">
        <v>18042</v>
      </c>
      <c r="AT19" s="2">
        <v>23789</v>
      </c>
      <c r="AU19" s="2">
        <v>23574</v>
      </c>
      <c r="AV19" s="2">
        <v>23661</v>
      </c>
      <c r="AW19" s="2">
        <v>18506</v>
      </c>
      <c r="AX19" s="2">
        <v>14008</v>
      </c>
      <c r="AY19" s="2">
        <v>135116</v>
      </c>
      <c r="AZ19" s="2"/>
    </row>
    <row r="20" spans="2:62" x14ac:dyDescent="0.35">
      <c r="B20" s="19" t="s">
        <v>39</v>
      </c>
      <c r="C20" s="2">
        <v>346063</v>
      </c>
      <c r="D20" s="2">
        <v>458139</v>
      </c>
      <c r="E20" s="2">
        <v>589351</v>
      </c>
      <c r="F20" s="2">
        <v>562913</v>
      </c>
      <c r="G20" s="2">
        <v>528066</v>
      </c>
      <c r="H20" s="2">
        <v>462768</v>
      </c>
      <c r="I20" s="2">
        <v>332068</v>
      </c>
      <c r="J20" s="2">
        <v>3279368</v>
      </c>
      <c r="K20" s="2"/>
      <c r="V20" s="19" t="s">
        <v>39</v>
      </c>
      <c r="W20" s="2">
        <v>101126</v>
      </c>
      <c r="X20" s="2">
        <v>156109</v>
      </c>
      <c r="Y20" s="2">
        <v>176835</v>
      </c>
      <c r="Z20" s="2">
        <v>180628</v>
      </c>
      <c r="AA20" s="2">
        <v>194522</v>
      </c>
      <c r="AB20" s="2">
        <v>138022</v>
      </c>
      <c r="AC20" s="2">
        <v>106144</v>
      </c>
      <c r="AD20" s="2">
        <v>1053386</v>
      </c>
      <c r="AE20" s="2"/>
      <c r="AQ20" s="19" t="s">
        <v>51</v>
      </c>
      <c r="AR20" s="2">
        <v>13720</v>
      </c>
      <c r="AS20" s="2">
        <v>18542</v>
      </c>
      <c r="AT20" s="2">
        <v>23853</v>
      </c>
      <c r="AU20" s="2">
        <v>23934</v>
      </c>
      <c r="AV20" s="2">
        <v>22557</v>
      </c>
      <c r="AW20" s="2">
        <v>18626</v>
      </c>
      <c r="AX20" s="2">
        <v>13562</v>
      </c>
      <c r="AY20" s="2">
        <v>134794</v>
      </c>
      <c r="AZ20" s="2"/>
    </row>
    <row r="21" spans="2:62" x14ac:dyDescent="0.35">
      <c r="AQ21" s="19" t="s">
        <v>39</v>
      </c>
      <c r="AR21" s="2">
        <v>177899</v>
      </c>
      <c r="AS21" s="2">
        <v>251508</v>
      </c>
      <c r="AT21" s="2">
        <v>304221</v>
      </c>
      <c r="AU21" s="2">
        <v>305995</v>
      </c>
      <c r="AV21" s="2">
        <v>306898</v>
      </c>
      <c r="AW21" s="2">
        <v>241076</v>
      </c>
      <c r="AX21" s="2">
        <v>178650</v>
      </c>
      <c r="AY21" s="2">
        <v>1766247</v>
      </c>
      <c r="AZ21" s="2"/>
    </row>
    <row r="30" spans="2:62" x14ac:dyDescent="0.35">
      <c r="AQ30" s="19"/>
      <c r="AR30" s="2"/>
      <c r="AS30" s="2"/>
      <c r="AT30" s="2"/>
      <c r="AU30" s="2"/>
      <c r="AV30" s="2"/>
      <c r="AW30" s="2"/>
      <c r="AX30" s="2"/>
      <c r="AY30" s="2"/>
      <c r="AZ30" s="2"/>
    </row>
    <row r="31" spans="2:62" x14ac:dyDescent="0.35">
      <c r="AQ31" s="19"/>
      <c r="AR31" s="2"/>
      <c r="AS31" s="2"/>
      <c r="AT31" s="2"/>
      <c r="AU31" s="2"/>
      <c r="AV31" s="2"/>
      <c r="AW31" s="2"/>
      <c r="AX31" s="2"/>
      <c r="AY31" s="2"/>
      <c r="AZ31" s="2"/>
    </row>
    <row r="32" spans="2:62" x14ac:dyDescent="0.35">
      <c r="AQ32" s="19"/>
      <c r="AR32" s="2"/>
      <c r="AS32" s="2"/>
      <c r="AT32" s="2"/>
      <c r="AU32" s="2"/>
      <c r="AV32" s="2"/>
      <c r="AW32" s="2"/>
      <c r="AX32" s="2"/>
      <c r="AY32" s="2"/>
      <c r="AZ32" s="2"/>
    </row>
    <row r="33" spans="43:52" x14ac:dyDescent="0.35">
      <c r="AQ33" s="19"/>
      <c r="AR33" s="2"/>
      <c r="AS33" s="2"/>
      <c r="AT33" s="2"/>
      <c r="AU33" s="2"/>
      <c r="AV33" s="2"/>
      <c r="AW33" s="2"/>
      <c r="AX33" s="2"/>
      <c r="AY33" s="2"/>
      <c r="AZ33" s="2"/>
    </row>
    <row r="34" spans="43:52" x14ac:dyDescent="0.35">
      <c r="AQ34" s="19"/>
      <c r="AR34" s="2"/>
      <c r="AS34" s="2"/>
      <c r="AT34" s="2"/>
      <c r="AU34" s="2"/>
      <c r="AV34" s="2"/>
      <c r="AW34" s="2"/>
      <c r="AX34" s="2"/>
      <c r="AY34" s="2"/>
      <c r="AZ34" s="2"/>
    </row>
    <row r="35" spans="43:52" x14ac:dyDescent="0.35">
      <c r="AQ35" s="19"/>
      <c r="AR35" s="2"/>
      <c r="AS35" s="2"/>
      <c r="AT35" s="2"/>
      <c r="AU35" s="2"/>
      <c r="AV35" s="2"/>
      <c r="AW35" s="2"/>
      <c r="AX35" s="2"/>
      <c r="AY35" s="2"/>
      <c r="AZ35" s="2"/>
    </row>
    <row r="36" spans="43:52" x14ac:dyDescent="0.35">
      <c r="AQ36" s="19"/>
      <c r="AR36" s="2"/>
      <c r="AS36" s="2"/>
      <c r="AT36" s="2"/>
      <c r="AU36" s="2"/>
      <c r="AV36" s="2"/>
      <c r="AW36" s="2"/>
      <c r="AX36" s="2"/>
      <c r="AY36" s="2"/>
      <c r="AZ36" s="2"/>
    </row>
    <row r="37" spans="43:52" x14ac:dyDescent="0.35">
      <c r="AQ37" s="19"/>
      <c r="AR37" s="2"/>
      <c r="AS37" s="2"/>
      <c r="AT37" s="2"/>
      <c r="AU37" s="2"/>
      <c r="AV37" s="2"/>
      <c r="AW37" s="2"/>
      <c r="AX37" s="2"/>
      <c r="AY37" s="2"/>
      <c r="AZ37" s="2"/>
    </row>
    <row r="38" spans="43:52" x14ac:dyDescent="0.35">
      <c r="AQ38" s="19"/>
      <c r="AR38" s="2"/>
      <c r="AS38" s="2"/>
      <c r="AT38" s="2"/>
      <c r="AU38" s="2"/>
      <c r="AV38" s="2"/>
      <c r="AW38" s="2"/>
      <c r="AX38" s="2"/>
      <c r="AY38" s="2"/>
      <c r="AZ38" s="2"/>
    </row>
    <row r="39" spans="43:52" x14ac:dyDescent="0.35">
      <c r="AQ39" s="19"/>
      <c r="AR39" s="2"/>
      <c r="AS39" s="2"/>
      <c r="AT39" s="2"/>
      <c r="AU39" s="2"/>
      <c r="AV39" s="2"/>
      <c r="AW39" s="2"/>
      <c r="AX39" s="2"/>
      <c r="AY39" s="2"/>
      <c r="AZ39" s="2"/>
    </row>
    <row r="40" spans="43:52" x14ac:dyDescent="0.35">
      <c r="AQ40" s="19"/>
      <c r="AR40" s="2"/>
      <c r="AS40" s="2"/>
      <c r="AT40" s="2"/>
      <c r="AU40" s="2"/>
      <c r="AV40" s="2"/>
      <c r="AW40" s="2"/>
      <c r="AX40" s="2"/>
      <c r="AY40" s="2"/>
      <c r="AZ40" s="2"/>
    </row>
    <row r="41" spans="43:52" x14ac:dyDescent="0.35">
      <c r="AQ41" s="19"/>
      <c r="AR41" s="2"/>
      <c r="AS41" s="2"/>
      <c r="AT41" s="2"/>
      <c r="AU41" s="2"/>
      <c r="AV41" s="2"/>
      <c r="AW41" s="2"/>
      <c r="AX41" s="2"/>
      <c r="AY41" s="2"/>
      <c r="AZ41" s="2"/>
    </row>
    <row r="42" spans="43:52" x14ac:dyDescent="0.35">
      <c r="AQ42" s="19"/>
      <c r="AR42" s="2"/>
      <c r="AS42" s="2"/>
      <c r="AT42" s="2"/>
      <c r="AU42" s="2"/>
      <c r="AV42" s="2"/>
      <c r="AW42" s="2"/>
      <c r="AX42" s="2"/>
      <c r="AY42" s="2"/>
      <c r="AZ42" s="2"/>
    </row>
    <row r="43" spans="43:52" x14ac:dyDescent="0.35">
      <c r="AQ43" s="19"/>
      <c r="AR43" s="2"/>
      <c r="AS43" s="2"/>
      <c r="AT43" s="2"/>
      <c r="AU43" s="2"/>
      <c r="AV43" s="2"/>
      <c r="AW43" s="2"/>
      <c r="AX43" s="2"/>
      <c r="AY43" s="2"/>
      <c r="AZ43" s="2"/>
    </row>
    <row r="44" spans="43:52" x14ac:dyDescent="0.35">
      <c r="AQ44" s="19"/>
      <c r="AR44" s="2"/>
      <c r="AS44" s="2"/>
      <c r="AT44" s="2"/>
      <c r="AU44" s="2"/>
      <c r="AV44" s="2"/>
      <c r="AW44" s="2"/>
      <c r="AX44" s="2"/>
      <c r="AY44" s="2"/>
      <c r="AZ44" s="2"/>
    </row>
  </sheetData>
  <mergeCells count="3">
    <mergeCell ref="B1:Q1"/>
    <mergeCell ref="V1:AK1"/>
    <mergeCell ref="AQ1:BG1"/>
  </mergeCells>
  <pageMargins left="0.7" right="0.7" top="0.75" bottom="0.75" header="0.3" footer="0.3"/>
  <pageSetup paperSize="9"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CU147"/>
  <sheetViews>
    <sheetView topLeftCell="CO1" zoomScale="90" zoomScaleNormal="90" workbookViewId="0">
      <selection activeCell="B3" sqref="B3"/>
    </sheetView>
  </sheetViews>
  <sheetFormatPr defaultRowHeight="14.5" x14ac:dyDescent="0.35"/>
  <cols>
    <col min="2" max="2" width="12.90625" bestFit="1" customWidth="1"/>
    <col min="3" max="3" width="26.1796875" bestFit="1" customWidth="1"/>
    <col min="7" max="7" width="26.1796875" bestFit="1" customWidth="1"/>
    <col min="8" max="8" width="15.81640625" bestFit="1" customWidth="1"/>
    <col min="9" max="9" width="7.26953125" bestFit="1" customWidth="1"/>
    <col min="10" max="10" width="8.81640625" bestFit="1" customWidth="1"/>
    <col min="11" max="11" width="22.453125" bestFit="1" customWidth="1"/>
    <col min="12" max="12" width="10.7265625" bestFit="1" customWidth="1"/>
    <col min="13" max="13" width="9.90625" bestFit="1" customWidth="1"/>
    <col min="14" max="14" width="10.7265625" bestFit="1" customWidth="1"/>
    <col min="15" max="15" width="11" bestFit="1" customWidth="1"/>
    <col min="16" max="16" width="11.26953125" customWidth="1"/>
    <col min="29" max="29" width="67.54296875" bestFit="1" customWidth="1"/>
    <col min="30" max="30" width="15.81640625" bestFit="1" customWidth="1"/>
    <col min="31" max="38" width="7.26953125" bestFit="1" customWidth="1"/>
    <col min="39" max="42" width="8.26953125" bestFit="1" customWidth="1"/>
    <col min="43" max="43" width="7.7265625" customWidth="1"/>
    <col min="45" max="45" width="12.90625" bestFit="1" customWidth="1"/>
    <col min="46" max="46" width="26.1796875" bestFit="1" customWidth="1"/>
    <col min="51" max="51" width="12.90625" bestFit="1" customWidth="1"/>
    <col min="52" max="52" width="31" bestFit="1" customWidth="1"/>
    <col min="56" max="56" width="31" bestFit="1" customWidth="1"/>
    <col min="57" max="57" width="15.81640625" bestFit="1" customWidth="1"/>
    <col min="58" max="58" width="7.26953125" bestFit="1" customWidth="1"/>
    <col min="59" max="59" width="8.81640625" bestFit="1" customWidth="1"/>
    <col min="60" max="60" width="22.453125" bestFit="1" customWidth="1"/>
    <col min="61" max="61" width="10.7265625" bestFit="1" customWidth="1"/>
    <col min="62" max="62" width="9.90625" bestFit="1" customWidth="1"/>
    <col min="63" max="63" width="10.7265625" bestFit="1" customWidth="1"/>
    <col min="64" max="64" width="11" bestFit="1" customWidth="1"/>
    <col min="65" max="66" width="11.26953125" customWidth="1"/>
    <col min="78" max="78" width="7.7265625" customWidth="1"/>
    <col min="79" max="79" width="67.54296875" bestFit="1" customWidth="1"/>
    <col min="80" max="80" width="15.81640625" bestFit="1" customWidth="1"/>
    <col min="81" max="84" width="8.26953125" bestFit="1" customWidth="1"/>
    <col min="85" max="92" width="7.26953125" bestFit="1" customWidth="1"/>
    <col min="93" max="94" width="7.7265625" customWidth="1"/>
    <col min="96" max="96" width="12.90625" bestFit="1" customWidth="1"/>
    <col min="97" max="97" width="31" bestFit="1" customWidth="1"/>
  </cols>
  <sheetData>
    <row r="1" spans="2:99" s="17" customFormat="1" x14ac:dyDescent="0.35">
      <c r="B1" s="43" t="s">
        <v>276</v>
      </c>
      <c r="C1" s="50"/>
      <c r="D1" s="37"/>
      <c r="E1" s="37"/>
      <c r="F1" s="37"/>
      <c r="G1" s="182" t="s">
        <v>277</v>
      </c>
      <c r="H1" s="182"/>
      <c r="I1" s="182"/>
      <c r="J1" s="182"/>
      <c r="K1" s="182"/>
      <c r="L1" s="182"/>
      <c r="M1" s="182"/>
      <c r="N1" s="182"/>
      <c r="O1" s="182"/>
      <c r="P1" s="182"/>
      <c r="Q1" s="182"/>
      <c r="R1" s="182"/>
      <c r="S1" s="182"/>
      <c r="T1" s="182"/>
      <c r="U1" s="182"/>
      <c r="V1" s="182"/>
      <c r="W1" s="182"/>
      <c r="X1" s="182"/>
      <c r="Y1" s="182"/>
      <c r="Z1" s="37"/>
      <c r="AA1" s="37"/>
      <c r="AB1" s="37"/>
      <c r="AC1" s="181" t="s">
        <v>278</v>
      </c>
      <c r="AD1" s="181"/>
      <c r="AE1" s="181"/>
      <c r="AF1" s="181"/>
      <c r="AG1" s="181"/>
      <c r="AH1" s="181"/>
      <c r="AI1" s="181"/>
      <c r="AJ1" s="181"/>
      <c r="AK1" s="181"/>
      <c r="AL1" s="181"/>
      <c r="AM1" s="181"/>
      <c r="AN1" s="181"/>
      <c r="AO1" s="181"/>
      <c r="AP1" s="181"/>
      <c r="AQ1" s="181"/>
      <c r="AR1" s="37"/>
      <c r="AS1" s="181" t="s">
        <v>279</v>
      </c>
      <c r="AT1" s="181"/>
      <c r="AU1" s="181"/>
      <c r="AV1" s="181"/>
      <c r="AX1" s="37"/>
      <c r="AY1" s="43" t="s">
        <v>280</v>
      </c>
      <c r="AZ1" s="46"/>
      <c r="BA1" s="46"/>
      <c r="BB1" s="37"/>
      <c r="BC1" s="37"/>
      <c r="BD1" s="182" t="s">
        <v>281</v>
      </c>
      <c r="BE1" s="182"/>
      <c r="BF1" s="182"/>
      <c r="BG1" s="182"/>
      <c r="BH1" s="182"/>
      <c r="BI1" s="182"/>
      <c r="BJ1" s="182"/>
      <c r="BK1" s="182"/>
      <c r="BL1" s="182"/>
      <c r="BM1" s="182"/>
      <c r="BN1" s="182"/>
      <c r="BO1" s="182"/>
      <c r="BP1" s="182"/>
      <c r="BQ1" s="182"/>
      <c r="BR1" s="182"/>
      <c r="BS1" s="182"/>
      <c r="BT1" s="182"/>
      <c r="BU1" s="182"/>
      <c r="BV1" s="182"/>
      <c r="BW1" s="113"/>
      <c r="BX1" s="113"/>
      <c r="BY1" s="37"/>
      <c r="BZ1" s="37"/>
      <c r="CA1" s="181" t="s">
        <v>282</v>
      </c>
      <c r="CB1" s="181"/>
      <c r="CC1" s="181"/>
      <c r="CD1" s="181"/>
      <c r="CE1" s="181"/>
      <c r="CF1" s="181"/>
      <c r="CG1" s="181"/>
      <c r="CH1" s="181"/>
      <c r="CI1" s="181"/>
      <c r="CJ1" s="181"/>
      <c r="CK1" s="181"/>
      <c r="CL1" s="181"/>
      <c r="CM1" s="181"/>
      <c r="CN1" s="181"/>
      <c r="CO1" s="181"/>
      <c r="CP1" s="37"/>
      <c r="CR1" s="181" t="s">
        <v>283</v>
      </c>
      <c r="CS1" s="181"/>
      <c r="CT1" s="181"/>
      <c r="CU1" s="181"/>
    </row>
    <row r="2" spans="2:99" x14ac:dyDescent="0.35">
      <c r="BZ2" s="42"/>
      <c r="CA2" s="42"/>
      <c r="CB2" s="42"/>
      <c r="CC2" s="42"/>
      <c r="CD2" s="42"/>
      <c r="CE2" s="42"/>
      <c r="CF2" s="42"/>
      <c r="CG2" s="42"/>
      <c r="CH2" s="42"/>
      <c r="CI2" s="42"/>
      <c r="CJ2" s="42"/>
      <c r="CK2" s="42"/>
      <c r="CL2" s="42"/>
      <c r="CM2" s="42"/>
      <c r="CN2" s="42"/>
      <c r="CO2" s="42"/>
      <c r="CP2" s="42"/>
    </row>
    <row r="3" spans="2:99" x14ac:dyDescent="0.35">
      <c r="B3" s="18" t="s">
        <v>40</v>
      </c>
      <c r="C3" t="s" vm="1">
        <v>435</v>
      </c>
      <c r="G3" s="18" t="s">
        <v>40</v>
      </c>
      <c r="H3" t="s" vm="1">
        <v>435</v>
      </c>
      <c r="S3" t="s">
        <v>41</v>
      </c>
      <c r="T3" t="s">
        <v>1</v>
      </c>
      <c r="U3" t="s">
        <v>226</v>
      </c>
      <c r="V3" t="s">
        <v>254</v>
      </c>
      <c r="W3" t="s">
        <v>223</v>
      </c>
      <c r="X3" t="s">
        <v>224</v>
      </c>
      <c r="Y3" t="s">
        <v>257</v>
      </c>
      <c r="Z3" t="s">
        <v>256</v>
      </c>
      <c r="AC3" s="18" t="s">
        <v>40</v>
      </c>
      <c r="AD3" t="s" vm="1">
        <v>435</v>
      </c>
      <c r="AS3" s="18" t="s">
        <v>40</v>
      </c>
      <c r="AT3" t="s" vm="1">
        <v>435</v>
      </c>
      <c r="AY3" s="18" t="s">
        <v>40</v>
      </c>
      <c r="AZ3" t="s" vm="1">
        <v>435</v>
      </c>
      <c r="BD3" s="18" t="s">
        <v>40</v>
      </c>
      <c r="BE3" t="s" vm="1">
        <v>435</v>
      </c>
      <c r="CA3" s="18" t="s">
        <v>40</v>
      </c>
      <c r="CB3" t="s" vm="1">
        <v>435</v>
      </c>
      <c r="CR3" s="18" t="s">
        <v>40</v>
      </c>
      <c r="CS3" t="s" vm="1">
        <v>435</v>
      </c>
    </row>
    <row r="4" spans="2:99" x14ac:dyDescent="0.35">
      <c r="R4" s="21" t="s">
        <v>43</v>
      </c>
      <c r="S4" s="25">
        <f>VLOOKUP($R4,$G$7:$O$1048576,9,FALSE)/7</f>
        <v>58.285714285714285</v>
      </c>
      <c r="T4" s="25">
        <f>VLOOKUP($R4,$G$7:$O$1048576,3,FALSE)/7</f>
        <v>14.428571428571429</v>
      </c>
      <c r="U4" s="25">
        <f>VLOOKUP($R4,$G$7:$O$1048576,4,FALSE)/7</f>
        <v>8.2857142857142865</v>
      </c>
      <c r="V4" s="25">
        <f>VLOOKUP($R4,$G$7:$O$1048576,5,FALSE)/7</f>
        <v>12.285714285714286</v>
      </c>
      <c r="W4" s="25">
        <f>VLOOKUP($R4,$G$7:$O$1048576,7,FALSE)/7</f>
        <v>4.2857142857142856</v>
      </c>
      <c r="X4" s="25">
        <f>VLOOKUP($R4,$G$7:$O$1048576,8,FALSE)/7</f>
        <v>1.1428571428571428</v>
      </c>
      <c r="Y4" s="25">
        <f>VLOOKUP($R4,$G$7:$O$1048576,2,FALSE)/7</f>
        <v>3</v>
      </c>
      <c r="Z4" s="25">
        <f>VLOOKUP($R4,$G$7:$O$1048576,6,FALSE)/7</f>
        <v>14.857142857142858</v>
      </c>
    </row>
    <row r="5" spans="2:99" x14ac:dyDescent="0.35">
      <c r="B5" s="18" t="s">
        <v>38</v>
      </c>
      <c r="C5" t="s">
        <v>63</v>
      </c>
      <c r="G5" s="18" t="s">
        <v>63</v>
      </c>
      <c r="H5" s="18" t="s">
        <v>42</v>
      </c>
      <c r="R5" s="20" t="s">
        <v>44</v>
      </c>
      <c r="S5" s="25">
        <f t="shared" ref="S5:S16" si="0">VLOOKUP($R5,$G$7:$O$1048576,9,FALSE)/7</f>
        <v>49.857142857142854</v>
      </c>
      <c r="T5" s="25">
        <f t="shared" ref="T5:T16" si="1">VLOOKUP($R5,$G$7:$O$1048576,3,FALSE)/7</f>
        <v>3.2857142857142856</v>
      </c>
      <c r="U5" s="25">
        <f t="shared" ref="U5:U16" si="2">VLOOKUP($R5,$G$7:$O$1048576,4,FALSE)/7</f>
        <v>11.285714285714286</v>
      </c>
      <c r="V5" s="25">
        <f t="shared" ref="V5:V16" si="3">VLOOKUP($R5,$G$7:$O$1048576,5,FALSE)/7</f>
        <v>18.428571428571427</v>
      </c>
      <c r="W5" s="25">
        <f t="shared" ref="W5:W16" si="4">VLOOKUP($R5,$G$7:$O$1048576,7,FALSE)/7</f>
        <v>5.1428571428571432</v>
      </c>
      <c r="X5" s="25">
        <f t="shared" ref="X5:X16" si="5">VLOOKUP($R5,$G$7:$O$1048576,8,FALSE)/7</f>
        <v>5.4285714285714288</v>
      </c>
      <c r="Y5" s="25">
        <f t="shared" ref="Y5:Y16" si="6">VLOOKUP($R5,$G$7:$O$1048576,2,FALSE)/7</f>
        <v>0.8571428571428571</v>
      </c>
      <c r="Z5" s="25">
        <f t="shared" ref="Z5:Z16" si="7">VLOOKUP($R5,$G$7:$O$1048576,6,FALSE)/7</f>
        <v>5.4285714285714288</v>
      </c>
      <c r="AC5" s="18" t="s">
        <v>63</v>
      </c>
      <c r="AD5" s="18" t="s">
        <v>42</v>
      </c>
      <c r="AS5" s="18" t="s">
        <v>38</v>
      </c>
      <c r="AT5" t="s">
        <v>63</v>
      </c>
      <c r="AY5" s="18" t="s">
        <v>38</v>
      </c>
      <c r="AZ5" t="s">
        <v>174</v>
      </c>
      <c r="BD5" s="18" t="s">
        <v>174</v>
      </c>
      <c r="BE5" s="18" t="s">
        <v>42</v>
      </c>
      <c r="BP5" t="s">
        <v>41</v>
      </c>
      <c r="BQ5" t="s">
        <v>1</v>
      </c>
      <c r="BR5" t="s">
        <v>226</v>
      </c>
      <c r="BS5" t="s">
        <v>254</v>
      </c>
      <c r="BT5" t="s">
        <v>223</v>
      </c>
      <c r="BU5" t="s">
        <v>224</v>
      </c>
      <c r="BV5" t="s">
        <v>257</v>
      </c>
      <c r="BW5" t="s">
        <v>256</v>
      </c>
      <c r="CA5" s="18" t="s">
        <v>174</v>
      </c>
      <c r="CB5" s="18" t="s">
        <v>42</v>
      </c>
      <c r="CR5" s="18" t="s">
        <v>38</v>
      </c>
      <c r="CS5" t="s">
        <v>174</v>
      </c>
    </row>
    <row r="6" spans="2:99" x14ac:dyDescent="0.35">
      <c r="B6" s="19">
        <v>1</v>
      </c>
      <c r="C6" s="2">
        <v>408</v>
      </c>
      <c r="D6" s="20"/>
      <c r="E6" s="20">
        <f>C6/4</f>
        <v>102</v>
      </c>
      <c r="F6" s="20"/>
      <c r="G6" s="18" t="s">
        <v>38</v>
      </c>
      <c r="H6" t="s">
        <v>291</v>
      </c>
      <c r="I6" t="s">
        <v>1</v>
      </c>
      <c r="J6" t="s">
        <v>226</v>
      </c>
      <c r="K6" t="s">
        <v>258</v>
      </c>
      <c r="L6" t="s">
        <v>255</v>
      </c>
      <c r="M6" t="s">
        <v>223</v>
      </c>
      <c r="N6" t="s">
        <v>224</v>
      </c>
      <c r="O6" t="s">
        <v>39</v>
      </c>
      <c r="Q6" s="25"/>
      <c r="R6" s="20" t="s">
        <v>45</v>
      </c>
      <c r="S6" s="25">
        <f t="shared" si="0"/>
        <v>68</v>
      </c>
      <c r="T6" s="25">
        <f t="shared" si="1"/>
        <v>5.1428571428571432</v>
      </c>
      <c r="U6" s="25">
        <f t="shared" si="2"/>
        <v>3.1428571428571428</v>
      </c>
      <c r="V6" s="25">
        <f t="shared" si="3"/>
        <v>33.714285714285715</v>
      </c>
      <c r="W6" s="25">
        <f t="shared" si="4"/>
        <v>7.5714285714285712</v>
      </c>
      <c r="X6" s="25">
        <f t="shared" si="5"/>
        <v>7.5714285714285712</v>
      </c>
      <c r="Y6" s="25">
        <f t="shared" si="6"/>
        <v>0</v>
      </c>
      <c r="Z6" s="25">
        <f t="shared" si="7"/>
        <v>10.857142857142858</v>
      </c>
      <c r="AA6" s="25"/>
      <c r="AB6" s="25"/>
      <c r="AC6" s="18" t="s">
        <v>38</v>
      </c>
      <c r="AD6" t="s">
        <v>43</v>
      </c>
      <c r="AE6" t="s">
        <v>44</v>
      </c>
      <c r="AF6" t="s">
        <v>45</v>
      </c>
      <c r="AG6" t="s">
        <v>46</v>
      </c>
      <c r="AH6" t="s">
        <v>47</v>
      </c>
      <c r="AI6" t="s">
        <v>48</v>
      </c>
      <c r="AJ6" t="s">
        <v>49</v>
      </c>
      <c r="AK6" t="s">
        <v>50</v>
      </c>
      <c r="AL6" t="s">
        <v>51</v>
      </c>
      <c r="AM6" t="s">
        <v>52</v>
      </c>
      <c r="AN6" t="s">
        <v>53</v>
      </c>
      <c r="AO6" t="s">
        <v>54</v>
      </c>
      <c r="AP6" t="s">
        <v>55</v>
      </c>
      <c r="AS6" s="125">
        <v>44165</v>
      </c>
      <c r="AT6" s="2">
        <v>51</v>
      </c>
      <c r="AV6">
        <f>MAX(AT6:AT1048576)</f>
        <v>357</v>
      </c>
      <c r="AX6" s="26"/>
      <c r="AY6" s="19">
        <v>1</v>
      </c>
      <c r="AZ6" s="2">
        <v>185</v>
      </c>
      <c r="BA6" s="26">
        <f>AZ6/4</f>
        <v>46.25</v>
      </c>
      <c r="BB6" s="26"/>
      <c r="BC6" s="25"/>
      <c r="BD6" s="18" t="s">
        <v>38</v>
      </c>
      <c r="BE6" t="s">
        <v>291</v>
      </c>
      <c r="BF6" t="s">
        <v>1</v>
      </c>
      <c r="BG6" t="s">
        <v>226</v>
      </c>
      <c r="BH6" t="s">
        <v>258</v>
      </c>
      <c r="BI6" t="s">
        <v>255</v>
      </c>
      <c r="BJ6" t="s">
        <v>223</v>
      </c>
      <c r="BK6" t="s">
        <v>224</v>
      </c>
      <c r="BL6" t="s">
        <v>39</v>
      </c>
      <c r="BO6" s="21" t="s">
        <v>43</v>
      </c>
      <c r="BP6" s="25">
        <f>VLOOKUP($BO6, $BD$7:$BL$875, 9,FALSE)/7</f>
        <v>26.428571428571427</v>
      </c>
      <c r="BQ6" s="25">
        <f>VLOOKUP($BO6, $BD$7:$BL$875, 3,FALSE)/7</f>
        <v>6.2857142857142856</v>
      </c>
      <c r="BR6" s="25">
        <f>VLOOKUP($BO6, $BD$7:$BL$875, 4,FALSE)/7</f>
        <v>5.4285714285714288</v>
      </c>
      <c r="BS6" s="25">
        <f>VLOOKUP($BO6, $BD$7:$BL$875, 5,FALSE)/7</f>
        <v>3.4285714285714284</v>
      </c>
      <c r="BT6" s="25">
        <f>VLOOKUP($BO6, $BD$7:$BL$875, 7,FALSE)/7</f>
        <v>1.7142857142857142</v>
      </c>
      <c r="BU6" s="25">
        <f>VLOOKUP($BO6, $BD$7:$BL$875, 8,FALSE)/7</f>
        <v>0.14285714285714285</v>
      </c>
      <c r="BV6" s="25">
        <f>VLOOKUP($BO6, $BD$7:$BL$875, 2,FALSE)/7</f>
        <v>1.5714285714285714</v>
      </c>
      <c r="BW6" s="25">
        <f>VLOOKUP($BO6, $BD$7:$BL$875, 6,FALSE)/7</f>
        <v>7.8571428571428568</v>
      </c>
      <c r="BX6" s="25"/>
      <c r="BY6" s="25"/>
      <c r="CA6" s="18" t="s">
        <v>38</v>
      </c>
      <c r="CB6" t="s">
        <v>43</v>
      </c>
      <c r="CC6" t="s">
        <v>52</v>
      </c>
      <c r="CD6" t="s">
        <v>53</v>
      </c>
      <c r="CE6" t="s">
        <v>54</v>
      </c>
      <c r="CF6" t="s">
        <v>55</v>
      </c>
      <c r="CG6" t="s">
        <v>44</v>
      </c>
      <c r="CH6" t="s">
        <v>45</v>
      </c>
      <c r="CI6" t="s">
        <v>46</v>
      </c>
      <c r="CJ6" t="s">
        <v>47</v>
      </c>
      <c r="CK6" t="s">
        <v>48</v>
      </c>
      <c r="CL6" t="s">
        <v>49</v>
      </c>
      <c r="CM6" t="s">
        <v>50</v>
      </c>
      <c r="CN6" t="s">
        <v>51</v>
      </c>
      <c r="CR6" s="125">
        <v>44165</v>
      </c>
      <c r="CS6" s="2">
        <v>30</v>
      </c>
      <c r="CU6">
        <f>MAX(CS6:CS1048576)</f>
        <v>65</v>
      </c>
    </row>
    <row r="7" spans="2:99" x14ac:dyDescent="0.35">
      <c r="B7" s="19">
        <v>2</v>
      </c>
      <c r="C7" s="2">
        <v>349</v>
      </c>
      <c r="D7" s="20"/>
      <c r="E7" s="20">
        <f>C7/7</f>
        <v>49.857142857142854</v>
      </c>
      <c r="F7" s="20"/>
      <c r="G7" s="19" t="s">
        <v>43</v>
      </c>
      <c r="H7" s="2">
        <v>21</v>
      </c>
      <c r="I7" s="2">
        <v>101</v>
      </c>
      <c r="J7" s="2">
        <v>58</v>
      </c>
      <c r="K7" s="2">
        <v>86</v>
      </c>
      <c r="L7" s="2">
        <v>104</v>
      </c>
      <c r="M7" s="2">
        <v>30</v>
      </c>
      <c r="N7" s="2">
        <v>8</v>
      </c>
      <c r="O7" s="2">
        <v>408</v>
      </c>
      <c r="P7" s="2"/>
      <c r="Q7" s="25"/>
      <c r="R7" s="20" t="s">
        <v>46</v>
      </c>
      <c r="S7" s="25">
        <f t="shared" si="0"/>
        <v>45.714285714285715</v>
      </c>
      <c r="T7" s="25">
        <f t="shared" si="1"/>
        <v>11.142857142857142</v>
      </c>
      <c r="U7" s="25">
        <f t="shared" si="2"/>
        <v>0.42857142857142855</v>
      </c>
      <c r="V7" s="25">
        <f t="shared" si="3"/>
        <v>10.857142857142858</v>
      </c>
      <c r="W7" s="25">
        <f t="shared" si="4"/>
        <v>19.142857142857142</v>
      </c>
      <c r="X7" s="25">
        <f t="shared" si="5"/>
        <v>0.14285714285714285</v>
      </c>
      <c r="Y7" s="25">
        <f t="shared" si="6"/>
        <v>0</v>
      </c>
      <c r="Z7" s="25">
        <f t="shared" si="7"/>
        <v>4</v>
      </c>
      <c r="AA7" s="25"/>
      <c r="AB7" s="25"/>
      <c r="AC7" s="19" t="s">
        <v>64</v>
      </c>
      <c r="AD7" s="2">
        <v>0</v>
      </c>
      <c r="AE7" s="2">
        <v>0</v>
      </c>
      <c r="AF7" s="2">
        <v>0</v>
      </c>
      <c r="AG7" s="2">
        <v>0</v>
      </c>
      <c r="AH7" s="2">
        <v>0</v>
      </c>
      <c r="AI7" s="2">
        <v>0</v>
      </c>
      <c r="AJ7" s="2">
        <v>0</v>
      </c>
      <c r="AK7" s="2">
        <v>0</v>
      </c>
      <c r="AL7" s="2">
        <v>0</v>
      </c>
      <c r="AM7" s="2">
        <v>0</v>
      </c>
      <c r="AN7" s="2">
        <v>0</v>
      </c>
      <c r="AO7" s="2">
        <v>0</v>
      </c>
      <c r="AP7" s="2">
        <v>0</v>
      </c>
      <c r="AS7" s="125">
        <v>44166</v>
      </c>
      <c r="AT7" s="2">
        <v>49</v>
      </c>
      <c r="AV7">
        <f>MATCH(AV6,AT6:AT1048576,0)</f>
        <v>42</v>
      </c>
      <c r="AX7" s="26"/>
      <c r="AY7" s="19">
        <v>2</v>
      </c>
      <c r="AZ7" s="2">
        <v>141</v>
      </c>
      <c r="BA7" s="26">
        <f>AZ7/7</f>
        <v>20.142857142857142</v>
      </c>
      <c r="BB7" s="26"/>
      <c r="BC7" s="25"/>
      <c r="BD7" s="19" t="s">
        <v>43</v>
      </c>
      <c r="BE7" s="2">
        <v>11</v>
      </c>
      <c r="BF7" s="2">
        <v>44</v>
      </c>
      <c r="BG7" s="2">
        <v>38</v>
      </c>
      <c r="BH7" s="2">
        <v>24</v>
      </c>
      <c r="BI7" s="2">
        <v>55</v>
      </c>
      <c r="BJ7" s="2">
        <v>12</v>
      </c>
      <c r="BK7" s="2">
        <v>1</v>
      </c>
      <c r="BL7" s="2">
        <v>185</v>
      </c>
      <c r="BM7" s="2"/>
      <c r="BN7" s="2"/>
      <c r="BO7" s="20" t="s">
        <v>44</v>
      </c>
      <c r="BP7" s="25">
        <f t="shared" ref="BP7:BP18" si="8">VLOOKUP($BO7, $BD$7:$BL$875, 9,FALSE)/7</f>
        <v>20.142857142857142</v>
      </c>
      <c r="BQ7" s="25">
        <f t="shared" ref="BQ7:BQ18" si="9">VLOOKUP($BO7, $BD$7:$BL$875, 3,FALSE)/7</f>
        <v>1.5714285714285714</v>
      </c>
      <c r="BR7" s="25">
        <f t="shared" ref="BR7:BR18" si="10">VLOOKUP($BO7, $BD$7:$BL$875, 4,FALSE)/7</f>
        <v>4.7142857142857144</v>
      </c>
      <c r="BS7" s="25">
        <f t="shared" ref="BS7:BS18" si="11">VLOOKUP($BO7, $BD$7:$BL$875, 5,FALSE)/7</f>
        <v>6.1428571428571432</v>
      </c>
      <c r="BT7" s="25">
        <f t="shared" ref="BT7:BT18" si="12">VLOOKUP($BO7, $BD$7:$BL$875, 7,FALSE)/7</f>
        <v>5.1428571428571432</v>
      </c>
      <c r="BU7" s="25">
        <f t="shared" ref="BU7:BU18" si="13">VLOOKUP($BO7, $BD$7:$BL$875, 8,FALSE)/7</f>
        <v>1.1428571428571428</v>
      </c>
      <c r="BV7" s="25">
        <f t="shared" ref="BV7:BV18" si="14">VLOOKUP($BO7, $BD$7:$BL$875, 2,FALSE)/7</f>
        <v>0.42857142857142855</v>
      </c>
      <c r="BW7" s="25">
        <f>VLOOKUP($BO7, $BD$7:$BL$875, 6,FALSE)/7</f>
        <v>1</v>
      </c>
      <c r="BX7" s="25"/>
      <c r="BY7" s="25"/>
      <c r="BZ7" s="2"/>
      <c r="CA7" s="19" t="s">
        <v>64</v>
      </c>
      <c r="CB7" s="2">
        <v>0</v>
      </c>
      <c r="CC7" s="2">
        <v>0</v>
      </c>
      <c r="CD7" s="2">
        <v>0</v>
      </c>
      <c r="CE7" s="2">
        <v>0</v>
      </c>
      <c r="CF7" s="2">
        <v>0</v>
      </c>
      <c r="CG7" s="2">
        <v>0</v>
      </c>
      <c r="CH7" s="2">
        <v>0</v>
      </c>
      <c r="CI7" s="2">
        <v>0</v>
      </c>
      <c r="CJ7" s="2">
        <v>0</v>
      </c>
      <c r="CK7" s="2">
        <v>0</v>
      </c>
      <c r="CL7" s="2">
        <v>0</v>
      </c>
      <c r="CM7" s="2">
        <v>0</v>
      </c>
      <c r="CN7" s="2">
        <v>0</v>
      </c>
      <c r="CP7" s="2"/>
      <c r="CR7" s="125">
        <v>44166</v>
      </c>
      <c r="CS7" s="2">
        <v>29</v>
      </c>
      <c r="CU7">
        <f>MATCH(CU6,CS6:CS1048576,0)</f>
        <v>3</v>
      </c>
    </row>
    <row r="8" spans="2:99" x14ac:dyDescent="0.35">
      <c r="B8" s="19">
        <v>3</v>
      </c>
      <c r="C8" s="2">
        <v>476</v>
      </c>
      <c r="D8" s="20"/>
      <c r="E8" s="20">
        <f>C8/7</f>
        <v>68</v>
      </c>
      <c r="F8" s="20"/>
      <c r="G8" s="19" t="s">
        <v>52</v>
      </c>
      <c r="H8" s="2">
        <v>0</v>
      </c>
      <c r="I8" s="2">
        <v>7</v>
      </c>
      <c r="J8" s="2">
        <v>2</v>
      </c>
      <c r="K8" s="2">
        <v>109</v>
      </c>
      <c r="L8" s="2">
        <v>70</v>
      </c>
      <c r="M8" s="2">
        <v>58</v>
      </c>
      <c r="N8" s="2">
        <v>4</v>
      </c>
      <c r="O8" s="2">
        <v>250</v>
      </c>
      <c r="P8" s="2"/>
      <c r="Q8" s="25"/>
      <c r="R8" s="20" t="s">
        <v>47</v>
      </c>
      <c r="S8" s="25">
        <f t="shared" si="0"/>
        <v>49.714285714285715</v>
      </c>
      <c r="T8" s="25">
        <f t="shared" si="1"/>
        <v>7</v>
      </c>
      <c r="U8" s="25">
        <f t="shared" si="2"/>
        <v>7.2857142857142856</v>
      </c>
      <c r="V8" s="25">
        <f t="shared" si="3"/>
        <v>9.8571428571428577</v>
      </c>
      <c r="W8" s="25">
        <f t="shared" si="4"/>
        <v>7.8571428571428568</v>
      </c>
      <c r="X8" s="25">
        <f t="shared" si="5"/>
        <v>8.8571428571428577</v>
      </c>
      <c r="Y8" s="25">
        <f t="shared" si="6"/>
        <v>0.8571428571428571</v>
      </c>
      <c r="Z8" s="25">
        <f t="shared" si="7"/>
        <v>8</v>
      </c>
      <c r="AA8" s="25"/>
      <c r="AB8" s="25"/>
      <c r="AC8" s="19" t="s">
        <v>65</v>
      </c>
      <c r="AD8" s="2">
        <v>0</v>
      </c>
      <c r="AE8" s="2">
        <v>0</v>
      </c>
      <c r="AF8" s="2">
        <v>0</v>
      </c>
      <c r="AG8" s="2">
        <v>0</v>
      </c>
      <c r="AH8" s="2">
        <v>0</v>
      </c>
      <c r="AI8" s="2">
        <v>0</v>
      </c>
      <c r="AJ8" s="2">
        <v>0</v>
      </c>
      <c r="AK8" s="2">
        <v>0</v>
      </c>
      <c r="AL8" s="2">
        <v>0</v>
      </c>
      <c r="AM8" s="2">
        <v>0</v>
      </c>
      <c r="AN8" s="2">
        <v>0</v>
      </c>
      <c r="AO8" s="2">
        <v>0</v>
      </c>
      <c r="AP8" s="2">
        <v>0</v>
      </c>
      <c r="AS8" s="125">
        <v>44167</v>
      </c>
      <c r="AT8" s="2">
        <v>104</v>
      </c>
      <c r="AV8">
        <f>INDEX(AS6:AS1048576,AV7,0)</f>
        <v>44206</v>
      </c>
      <c r="AX8" s="26"/>
      <c r="AY8" s="19">
        <v>3</v>
      </c>
      <c r="AZ8" s="2">
        <v>150</v>
      </c>
      <c r="BA8" s="26">
        <f>AZ8/7</f>
        <v>21.428571428571427</v>
      </c>
      <c r="BB8" s="26"/>
      <c r="BC8" s="25"/>
      <c r="BD8" s="19" t="s">
        <v>52</v>
      </c>
      <c r="BE8" s="2">
        <v>0</v>
      </c>
      <c r="BF8" s="2">
        <v>2</v>
      </c>
      <c r="BG8" s="2">
        <v>1</v>
      </c>
      <c r="BH8" s="2">
        <v>38</v>
      </c>
      <c r="BI8" s="2">
        <v>27</v>
      </c>
      <c r="BJ8" s="2">
        <v>49</v>
      </c>
      <c r="BK8" s="2">
        <v>0</v>
      </c>
      <c r="BL8" s="2">
        <v>117</v>
      </c>
      <c r="BM8" s="2"/>
      <c r="BN8" s="2"/>
      <c r="BO8" s="20" t="s">
        <v>45</v>
      </c>
      <c r="BP8" s="25">
        <f t="shared" si="8"/>
        <v>21.428571428571427</v>
      </c>
      <c r="BQ8" s="25">
        <f>VLOOKUP($BO8, $BD$7:$BL$875, 3,FALSE)/7</f>
        <v>2.7142857142857144</v>
      </c>
      <c r="BR8" s="25">
        <f t="shared" si="10"/>
        <v>0.42857142857142855</v>
      </c>
      <c r="BS8" s="25">
        <f t="shared" si="11"/>
        <v>10.142857142857142</v>
      </c>
      <c r="BT8" s="25">
        <f t="shared" si="12"/>
        <v>1.7142857142857142</v>
      </c>
      <c r="BU8" s="25">
        <f t="shared" si="13"/>
        <v>4.5714285714285712</v>
      </c>
      <c r="BV8" s="25">
        <f t="shared" si="14"/>
        <v>0</v>
      </c>
      <c r="BW8" s="25">
        <f t="shared" ref="BW8:BW18" si="15">VLOOKUP($BO8, $BD$7:$BL$875, 6,FALSE)/7</f>
        <v>1.8571428571428572</v>
      </c>
      <c r="BX8" s="25"/>
      <c r="BY8" s="25"/>
      <c r="BZ8" s="2"/>
      <c r="CA8" s="19" t="s">
        <v>65</v>
      </c>
      <c r="CB8" s="2">
        <v>0</v>
      </c>
      <c r="CC8" s="2">
        <v>0</v>
      </c>
      <c r="CD8" s="2">
        <v>0</v>
      </c>
      <c r="CE8" s="2">
        <v>0</v>
      </c>
      <c r="CF8" s="2">
        <v>0</v>
      </c>
      <c r="CG8" s="2">
        <v>0</v>
      </c>
      <c r="CH8" s="2">
        <v>0</v>
      </c>
      <c r="CI8" s="2">
        <v>0</v>
      </c>
      <c r="CJ8" s="2">
        <v>0</v>
      </c>
      <c r="CK8" s="2">
        <v>0</v>
      </c>
      <c r="CL8" s="2">
        <v>0</v>
      </c>
      <c r="CM8" s="2">
        <v>0</v>
      </c>
      <c r="CN8" s="2">
        <v>0</v>
      </c>
      <c r="CP8" s="2"/>
      <c r="CR8" s="125">
        <v>44167</v>
      </c>
      <c r="CS8" s="2">
        <v>65</v>
      </c>
      <c r="CU8">
        <f>INDEX(CR6:CR1048576,CU7,0)</f>
        <v>44167</v>
      </c>
    </row>
    <row r="9" spans="2:99" x14ac:dyDescent="0.35">
      <c r="B9" s="19">
        <v>4</v>
      </c>
      <c r="C9" s="2">
        <v>320</v>
      </c>
      <c r="D9" s="20"/>
      <c r="E9" s="20">
        <f t="shared" ref="E9:E20" si="16">C9/7</f>
        <v>45.714285714285715</v>
      </c>
      <c r="F9" s="20"/>
      <c r="G9" s="19" t="s">
        <v>53</v>
      </c>
      <c r="H9" s="2">
        <v>0</v>
      </c>
      <c r="I9" s="2">
        <v>11</v>
      </c>
      <c r="J9" s="2">
        <v>6</v>
      </c>
      <c r="K9" s="2">
        <v>92</v>
      </c>
      <c r="L9" s="2">
        <v>24</v>
      </c>
      <c r="M9" s="2">
        <v>22</v>
      </c>
      <c r="N9" s="2">
        <v>32</v>
      </c>
      <c r="O9" s="2">
        <v>187</v>
      </c>
      <c r="P9" s="2"/>
      <c r="Q9" s="25"/>
      <c r="R9" s="20" t="s">
        <v>48</v>
      </c>
      <c r="S9" s="25">
        <f t="shared" si="0"/>
        <v>76.428571428571431</v>
      </c>
      <c r="T9" s="25">
        <f t="shared" si="1"/>
        <v>2.1428571428571428</v>
      </c>
      <c r="U9" s="25">
        <f t="shared" si="2"/>
        <v>1.4285714285714286</v>
      </c>
      <c r="V9" s="25">
        <f t="shared" si="3"/>
        <v>54.428571428571431</v>
      </c>
      <c r="W9" s="25">
        <f t="shared" si="4"/>
        <v>4.5714285714285712</v>
      </c>
      <c r="X9" s="25">
        <f t="shared" si="5"/>
        <v>4</v>
      </c>
      <c r="Y9" s="25">
        <f t="shared" si="6"/>
        <v>0.8571428571428571</v>
      </c>
      <c r="Z9" s="25">
        <f t="shared" si="7"/>
        <v>9</v>
      </c>
      <c r="AA9" s="25"/>
      <c r="AB9" s="25"/>
      <c r="AC9" s="19" t="s">
        <v>66</v>
      </c>
      <c r="AD9" s="2">
        <v>0</v>
      </c>
      <c r="AE9" s="2">
        <v>0</v>
      </c>
      <c r="AF9" s="2">
        <v>0</v>
      </c>
      <c r="AG9" s="2">
        <v>0</v>
      </c>
      <c r="AH9" s="2">
        <v>0</v>
      </c>
      <c r="AI9" s="2">
        <v>0</v>
      </c>
      <c r="AJ9" s="2">
        <v>0</v>
      </c>
      <c r="AK9" s="2">
        <v>0</v>
      </c>
      <c r="AL9" s="2">
        <v>0</v>
      </c>
      <c r="AM9" s="2">
        <v>0</v>
      </c>
      <c r="AN9" s="2">
        <v>0</v>
      </c>
      <c r="AO9" s="2">
        <v>0</v>
      </c>
      <c r="AP9" s="2">
        <v>0</v>
      </c>
      <c r="AS9" s="125">
        <v>44168</v>
      </c>
      <c r="AT9" s="2">
        <v>58</v>
      </c>
      <c r="AX9" s="26"/>
      <c r="AY9" s="19">
        <v>4</v>
      </c>
      <c r="AZ9" s="2">
        <v>117</v>
      </c>
      <c r="BA9" s="26">
        <f t="shared" ref="BA9:BA19" si="17">AZ9/7</f>
        <v>16.714285714285715</v>
      </c>
      <c r="BB9" s="26"/>
      <c r="BC9" s="25"/>
      <c r="BD9" s="19" t="s">
        <v>53</v>
      </c>
      <c r="BE9" s="2">
        <v>0</v>
      </c>
      <c r="BF9" s="2">
        <v>5</v>
      </c>
      <c r="BG9" s="2">
        <v>3</v>
      </c>
      <c r="BH9" s="2">
        <v>43</v>
      </c>
      <c r="BI9" s="2">
        <v>4</v>
      </c>
      <c r="BJ9" s="2">
        <v>18</v>
      </c>
      <c r="BK9" s="2">
        <v>11</v>
      </c>
      <c r="BL9" s="2">
        <v>84</v>
      </c>
      <c r="BM9" s="2"/>
      <c r="BN9" s="2"/>
      <c r="BO9" s="20" t="s">
        <v>46</v>
      </c>
      <c r="BP9" s="25">
        <f t="shared" si="8"/>
        <v>16.714285714285715</v>
      </c>
      <c r="BQ9" s="25">
        <f t="shared" si="9"/>
        <v>2.8571428571428572</v>
      </c>
      <c r="BR9" s="25">
        <f t="shared" si="10"/>
        <v>0</v>
      </c>
      <c r="BS9" s="25">
        <f t="shared" si="11"/>
        <v>4</v>
      </c>
      <c r="BT9" s="25">
        <f t="shared" si="12"/>
        <v>9.1428571428571423</v>
      </c>
      <c r="BU9" s="25">
        <f t="shared" si="13"/>
        <v>0.14285714285714285</v>
      </c>
      <c r="BV9" s="25">
        <f t="shared" si="14"/>
        <v>0</v>
      </c>
      <c r="BW9" s="25">
        <f t="shared" si="15"/>
        <v>0.5714285714285714</v>
      </c>
      <c r="BX9" s="25"/>
      <c r="BY9" s="25"/>
      <c r="BZ9" s="2"/>
      <c r="CA9" s="19" t="s">
        <v>66</v>
      </c>
      <c r="CB9" s="2">
        <v>0</v>
      </c>
      <c r="CC9" s="2">
        <v>0</v>
      </c>
      <c r="CD9" s="2">
        <v>0</v>
      </c>
      <c r="CE9" s="2">
        <v>0</v>
      </c>
      <c r="CF9" s="2">
        <v>0</v>
      </c>
      <c r="CG9" s="2">
        <v>0</v>
      </c>
      <c r="CH9" s="2">
        <v>0</v>
      </c>
      <c r="CI9" s="2">
        <v>0</v>
      </c>
      <c r="CJ9" s="2">
        <v>0</v>
      </c>
      <c r="CK9" s="2">
        <v>0</v>
      </c>
      <c r="CL9" s="2">
        <v>0</v>
      </c>
      <c r="CM9" s="2">
        <v>0</v>
      </c>
      <c r="CN9" s="2">
        <v>0</v>
      </c>
      <c r="CP9" s="2"/>
      <c r="CR9" s="125">
        <v>44168</v>
      </c>
      <c r="CS9" s="2">
        <v>16</v>
      </c>
    </row>
    <row r="10" spans="2:99" x14ac:dyDescent="0.35">
      <c r="B10" s="19">
        <v>5</v>
      </c>
      <c r="C10" s="2">
        <v>348</v>
      </c>
      <c r="D10" s="20"/>
      <c r="E10" s="20">
        <f t="shared" si="16"/>
        <v>49.714285714285715</v>
      </c>
      <c r="F10" s="20"/>
      <c r="G10" s="19" t="s">
        <v>54</v>
      </c>
      <c r="H10" s="2">
        <v>0</v>
      </c>
      <c r="I10" s="2">
        <v>13</v>
      </c>
      <c r="J10" s="2">
        <v>0</v>
      </c>
      <c r="K10" s="2">
        <v>80</v>
      </c>
      <c r="L10" s="2">
        <v>43</v>
      </c>
      <c r="M10" s="2">
        <v>21</v>
      </c>
      <c r="N10" s="2">
        <v>9</v>
      </c>
      <c r="O10" s="2">
        <v>166</v>
      </c>
      <c r="P10" s="2"/>
      <c r="Q10" s="25"/>
      <c r="R10" s="20" t="s">
        <v>49</v>
      </c>
      <c r="S10" s="25">
        <f t="shared" si="0"/>
        <v>21.571428571428573</v>
      </c>
      <c r="T10" s="25">
        <f t="shared" si="1"/>
        <v>1.7142857142857142</v>
      </c>
      <c r="U10" s="25">
        <f t="shared" si="2"/>
        <v>0</v>
      </c>
      <c r="V10" s="25">
        <f t="shared" si="3"/>
        <v>5.4285714285714288</v>
      </c>
      <c r="W10" s="25">
        <f t="shared" si="4"/>
        <v>8.7142857142857135</v>
      </c>
      <c r="X10" s="25">
        <f t="shared" si="5"/>
        <v>0</v>
      </c>
      <c r="Y10" s="25">
        <f t="shared" si="6"/>
        <v>0</v>
      </c>
      <c r="Z10" s="25">
        <f t="shared" si="7"/>
        <v>5.7142857142857144</v>
      </c>
      <c r="AA10" s="25"/>
      <c r="AB10" s="25"/>
      <c r="AC10" s="19" t="s">
        <v>67</v>
      </c>
      <c r="AD10" s="2">
        <v>0</v>
      </c>
      <c r="AE10" s="2">
        <v>0</v>
      </c>
      <c r="AF10" s="2">
        <v>0</v>
      </c>
      <c r="AG10" s="2">
        <v>0</v>
      </c>
      <c r="AH10" s="2">
        <v>0</v>
      </c>
      <c r="AI10" s="2">
        <v>0</v>
      </c>
      <c r="AJ10" s="2">
        <v>0</v>
      </c>
      <c r="AK10" s="2">
        <v>0</v>
      </c>
      <c r="AL10" s="2">
        <v>0</v>
      </c>
      <c r="AM10" s="2">
        <v>0</v>
      </c>
      <c r="AN10" s="2">
        <v>0</v>
      </c>
      <c r="AO10" s="2">
        <v>0</v>
      </c>
      <c r="AP10" s="2">
        <v>0</v>
      </c>
      <c r="AS10" s="125">
        <v>44169</v>
      </c>
      <c r="AT10" s="2">
        <v>65</v>
      </c>
      <c r="AX10" s="26"/>
      <c r="AY10" s="19">
        <v>5</v>
      </c>
      <c r="AZ10" s="2">
        <v>78</v>
      </c>
      <c r="BA10" s="26">
        <f t="shared" si="17"/>
        <v>11.142857142857142</v>
      </c>
      <c r="BB10" s="26"/>
      <c r="BC10" s="25"/>
      <c r="BD10" s="19" t="s">
        <v>54</v>
      </c>
      <c r="BE10" s="2">
        <v>0</v>
      </c>
      <c r="BF10" s="2">
        <v>6</v>
      </c>
      <c r="BG10" s="2">
        <v>0</v>
      </c>
      <c r="BH10" s="2">
        <v>43</v>
      </c>
      <c r="BI10" s="2">
        <v>8</v>
      </c>
      <c r="BJ10" s="2">
        <v>6</v>
      </c>
      <c r="BK10" s="2">
        <v>4</v>
      </c>
      <c r="BL10" s="2">
        <v>67</v>
      </c>
      <c r="BM10" s="2"/>
      <c r="BN10" s="2"/>
      <c r="BO10" s="20" t="s">
        <v>47</v>
      </c>
      <c r="BP10" s="25">
        <f t="shared" si="8"/>
        <v>11.142857142857142</v>
      </c>
      <c r="BQ10" s="25">
        <f t="shared" si="9"/>
        <v>2.4285714285714284</v>
      </c>
      <c r="BR10" s="25">
        <f t="shared" si="10"/>
        <v>0.2857142857142857</v>
      </c>
      <c r="BS10" s="25">
        <f>VLOOKUP($BO10, $BD$7:$BL$875, 5,FALSE)/7</f>
        <v>2.7142857142857144</v>
      </c>
      <c r="BT10" s="25">
        <f t="shared" si="12"/>
        <v>1.5714285714285714</v>
      </c>
      <c r="BU10" s="25">
        <f t="shared" si="13"/>
        <v>0.8571428571428571</v>
      </c>
      <c r="BV10" s="25">
        <f t="shared" si="14"/>
        <v>0</v>
      </c>
      <c r="BW10" s="25">
        <f t="shared" si="15"/>
        <v>3.2857142857142856</v>
      </c>
      <c r="BX10" s="25"/>
      <c r="BY10" s="25"/>
      <c r="BZ10" s="2"/>
      <c r="CA10" s="19" t="s">
        <v>67</v>
      </c>
      <c r="CB10" s="2">
        <v>0</v>
      </c>
      <c r="CC10" s="2">
        <v>0</v>
      </c>
      <c r="CD10" s="2">
        <v>0</v>
      </c>
      <c r="CE10" s="2">
        <v>0</v>
      </c>
      <c r="CF10" s="2">
        <v>0</v>
      </c>
      <c r="CG10" s="2">
        <v>0</v>
      </c>
      <c r="CH10" s="2">
        <v>0</v>
      </c>
      <c r="CI10" s="2">
        <v>0</v>
      </c>
      <c r="CJ10" s="2">
        <v>0</v>
      </c>
      <c r="CK10" s="2">
        <v>0</v>
      </c>
      <c r="CL10" s="2">
        <v>0</v>
      </c>
      <c r="CM10" s="2">
        <v>0</v>
      </c>
      <c r="CN10" s="2">
        <v>0</v>
      </c>
      <c r="CP10" s="2"/>
      <c r="CR10" s="125">
        <v>44169</v>
      </c>
      <c r="CS10" s="2">
        <v>27</v>
      </c>
    </row>
    <row r="11" spans="2:99" x14ac:dyDescent="0.35">
      <c r="B11" s="19">
        <v>6</v>
      </c>
      <c r="C11" s="2">
        <v>535</v>
      </c>
      <c r="D11" s="20"/>
      <c r="E11" s="20">
        <f t="shared" si="16"/>
        <v>76.428571428571431</v>
      </c>
      <c r="F11" s="20"/>
      <c r="G11" s="19" t="s">
        <v>55</v>
      </c>
      <c r="H11" s="2">
        <v>0</v>
      </c>
      <c r="I11" s="2">
        <v>20</v>
      </c>
      <c r="J11" s="2">
        <v>0</v>
      </c>
      <c r="K11" s="2">
        <v>71</v>
      </c>
      <c r="L11" s="2">
        <v>53</v>
      </c>
      <c r="M11" s="2">
        <v>9</v>
      </c>
      <c r="N11" s="2">
        <v>31</v>
      </c>
      <c r="O11" s="2">
        <v>184</v>
      </c>
      <c r="P11" s="2"/>
      <c r="Q11" s="25"/>
      <c r="R11" s="20" t="s">
        <v>50</v>
      </c>
      <c r="S11" s="25">
        <f t="shared" si="0"/>
        <v>17.428571428571427</v>
      </c>
      <c r="T11" s="25">
        <f t="shared" si="1"/>
        <v>0.8571428571428571</v>
      </c>
      <c r="U11" s="25">
        <f t="shared" si="2"/>
        <v>3.4285714285714284</v>
      </c>
      <c r="V11" s="25">
        <f t="shared" si="3"/>
        <v>6.8571428571428568</v>
      </c>
      <c r="W11" s="25">
        <f t="shared" si="4"/>
        <v>0.8571428571428571</v>
      </c>
      <c r="X11" s="25">
        <f t="shared" si="5"/>
        <v>0</v>
      </c>
      <c r="Y11" s="25">
        <f t="shared" si="6"/>
        <v>0</v>
      </c>
      <c r="Z11" s="25">
        <f t="shared" si="7"/>
        <v>5.4285714285714288</v>
      </c>
      <c r="AA11" s="25"/>
      <c r="AB11" s="25"/>
      <c r="AC11" s="19" t="s">
        <v>68</v>
      </c>
      <c r="AD11" s="2">
        <v>0</v>
      </c>
      <c r="AE11" s="2">
        <v>0</v>
      </c>
      <c r="AF11" s="2">
        <v>0</v>
      </c>
      <c r="AG11" s="2">
        <v>0</v>
      </c>
      <c r="AH11" s="2">
        <v>0</v>
      </c>
      <c r="AI11" s="2">
        <v>328</v>
      </c>
      <c r="AJ11" s="2">
        <v>0</v>
      </c>
      <c r="AK11" s="2">
        <v>0</v>
      </c>
      <c r="AL11" s="2">
        <v>0</v>
      </c>
      <c r="AM11" s="2">
        <v>0</v>
      </c>
      <c r="AN11" s="2">
        <v>0</v>
      </c>
      <c r="AO11" s="2">
        <v>0</v>
      </c>
      <c r="AP11" s="2">
        <v>0</v>
      </c>
      <c r="AS11" s="125">
        <v>44170</v>
      </c>
      <c r="AT11" s="2">
        <v>62</v>
      </c>
      <c r="AX11" s="26"/>
      <c r="AY11" s="19">
        <v>6</v>
      </c>
      <c r="AZ11" s="2">
        <v>50</v>
      </c>
      <c r="BA11" s="26">
        <f t="shared" si="17"/>
        <v>7.1428571428571432</v>
      </c>
      <c r="BB11" s="26"/>
      <c r="BC11" s="25"/>
      <c r="BD11" s="19" t="s">
        <v>55</v>
      </c>
      <c r="BE11" s="2">
        <v>0</v>
      </c>
      <c r="BF11" s="2">
        <v>15</v>
      </c>
      <c r="BG11" s="2">
        <v>0</v>
      </c>
      <c r="BH11" s="2">
        <v>20</v>
      </c>
      <c r="BI11" s="2">
        <v>8</v>
      </c>
      <c r="BJ11" s="2">
        <v>4</v>
      </c>
      <c r="BK11" s="2">
        <v>8</v>
      </c>
      <c r="BL11" s="2">
        <v>55</v>
      </c>
      <c r="BM11" s="2"/>
      <c r="BN11" s="2"/>
      <c r="BO11" s="20" t="s">
        <v>48</v>
      </c>
      <c r="BP11" s="25">
        <f t="shared" si="8"/>
        <v>7.1428571428571432</v>
      </c>
      <c r="BQ11" s="25">
        <f t="shared" si="9"/>
        <v>0.8571428571428571</v>
      </c>
      <c r="BR11" s="25">
        <f t="shared" si="10"/>
        <v>0.2857142857142857</v>
      </c>
      <c r="BS11" s="25">
        <f t="shared" si="11"/>
        <v>2.5714285714285716</v>
      </c>
      <c r="BT11" s="25">
        <f t="shared" si="12"/>
        <v>1.1428571428571428</v>
      </c>
      <c r="BU11" s="25">
        <f t="shared" si="13"/>
        <v>0.14285714285714285</v>
      </c>
      <c r="BV11" s="25">
        <f t="shared" si="14"/>
        <v>0</v>
      </c>
      <c r="BW11" s="25">
        <f t="shared" si="15"/>
        <v>2.1428571428571428</v>
      </c>
      <c r="BX11" s="25"/>
      <c r="BY11" s="25"/>
      <c r="BZ11" s="2"/>
      <c r="CA11" s="19" t="s">
        <v>68</v>
      </c>
      <c r="CB11" s="2">
        <v>0</v>
      </c>
      <c r="CC11" s="2">
        <v>0</v>
      </c>
      <c r="CD11" s="2">
        <v>0</v>
      </c>
      <c r="CE11" s="2">
        <v>0</v>
      </c>
      <c r="CF11" s="2">
        <v>0</v>
      </c>
      <c r="CG11" s="2">
        <v>0</v>
      </c>
      <c r="CH11" s="2">
        <v>0</v>
      </c>
      <c r="CI11" s="2">
        <v>0</v>
      </c>
      <c r="CJ11" s="2">
        <v>0</v>
      </c>
      <c r="CK11" s="2">
        <v>0</v>
      </c>
      <c r="CL11" s="2">
        <v>0</v>
      </c>
      <c r="CM11" s="2">
        <v>0</v>
      </c>
      <c r="CN11" s="2">
        <v>0</v>
      </c>
      <c r="CP11" s="2"/>
      <c r="CR11" s="125">
        <v>44170</v>
      </c>
      <c r="CS11" s="2">
        <v>15</v>
      </c>
    </row>
    <row r="12" spans="2:99" x14ac:dyDescent="0.35">
      <c r="B12" s="19">
        <v>7</v>
      </c>
      <c r="C12" s="2">
        <v>151</v>
      </c>
      <c r="D12" s="20"/>
      <c r="E12" s="20">
        <f t="shared" si="16"/>
        <v>21.571428571428573</v>
      </c>
      <c r="F12" s="20"/>
      <c r="G12" s="19" t="s">
        <v>44</v>
      </c>
      <c r="H12" s="2">
        <v>6</v>
      </c>
      <c r="I12" s="2">
        <v>23</v>
      </c>
      <c r="J12" s="2">
        <v>79</v>
      </c>
      <c r="K12" s="2">
        <v>129</v>
      </c>
      <c r="L12" s="2">
        <v>38</v>
      </c>
      <c r="M12" s="2">
        <v>36</v>
      </c>
      <c r="N12" s="2">
        <v>38</v>
      </c>
      <c r="O12" s="2">
        <v>349</v>
      </c>
      <c r="P12" s="2"/>
      <c r="Q12" s="25"/>
      <c r="R12" s="20" t="s">
        <v>51</v>
      </c>
      <c r="S12" s="25">
        <f t="shared" si="0"/>
        <v>28.142857142857142</v>
      </c>
      <c r="T12" s="25">
        <f t="shared" si="1"/>
        <v>5.4285714285714288</v>
      </c>
      <c r="U12" s="25">
        <f>VLOOKUP($R12,$G$7:$O$1048576,4,FALSE)/7</f>
        <v>0.2857142857142857</v>
      </c>
      <c r="V12" s="25">
        <f t="shared" si="3"/>
        <v>8.7142857142857135</v>
      </c>
      <c r="W12" s="25">
        <f t="shared" si="4"/>
        <v>4.2857142857142856</v>
      </c>
      <c r="X12" s="25">
        <f t="shared" si="5"/>
        <v>0</v>
      </c>
      <c r="Y12" s="25">
        <f>VLOOKUP($R12,$G$7:$O$1048576,2,FALSE)/7</f>
        <v>0</v>
      </c>
      <c r="Z12" s="25">
        <f t="shared" si="7"/>
        <v>9.4285714285714288</v>
      </c>
      <c r="AA12" s="25"/>
      <c r="AB12" s="25"/>
      <c r="AC12" s="19" t="s">
        <v>69</v>
      </c>
      <c r="AD12" s="2">
        <v>0</v>
      </c>
      <c r="AE12" s="2">
        <v>0</v>
      </c>
      <c r="AF12" s="2">
        <v>0</v>
      </c>
      <c r="AG12" s="2">
        <v>0</v>
      </c>
      <c r="AH12" s="2">
        <v>0</v>
      </c>
      <c r="AI12" s="2">
        <v>0</v>
      </c>
      <c r="AJ12" s="2">
        <v>0</v>
      </c>
      <c r="AK12" s="2">
        <v>0</v>
      </c>
      <c r="AL12" s="2">
        <v>0</v>
      </c>
      <c r="AM12" s="2">
        <v>0</v>
      </c>
      <c r="AN12" s="2">
        <v>0</v>
      </c>
      <c r="AO12" s="2">
        <v>0</v>
      </c>
      <c r="AP12" s="2">
        <v>0</v>
      </c>
      <c r="AS12" s="125">
        <v>44171</v>
      </c>
      <c r="AT12" s="2">
        <v>19</v>
      </c>
      <c r="AX12" s="26"/>
      <c r="AY12" s="19">
        <v>7</v>
      </c>
      <c r="AZ12" s="2">
        <v>35</v>
      </c>
      <c r="BA12" s="26">
        <f t="shared" si="17"/>
        <v>5</v>
      </c>
      <c r="BB12" s="26"/>
      <c r="BC12" s="25"/>
      <c r="BD12" s="19" t="s">
        <v>44</v>
      </c>
      <c r="BE12" s="2">
        <v>3</v>
      </c>
      <c r="BF12" s="2">
        <v>11</v>
      </c>
      <c r="BG12" s="2">
        <v>33</v>
      </c>
      <c r="BH12" s="2">
        <v>43</v>
      </c>
      <c r="BI12" s="2">
        <v>7</v>
      </c>
      <c r="BJ12" s="2">
        <v>36</v>
      </c>
      <c r="BK12" s="2">
        <v>8</v>
      </c>
      <c r="BL12" s="2">
        <v>141</v>
      </c>
      <c r="BM12" s="2"/>
      <c r="BN12" s="2"/>
      <c r="BO12" s="20" t="s">
        <v>49</v>
      </c>
      <c r="BP12" s="25">
        <f t="shared" si="8"/>
        <v>5</v>
      </c>
      <c r="BQ12" s="25">
        <f>VLOOKUP($BO12, $BD$7:$BL$875, 3,FALSE)/7</f>
        <v>0.42857142857142855</v>
      </c>
      <c r="BR12" s="25">
        <f t="shared" si="10"/>
        <v>0</v>
      </c>
      <c r="BS12" s="25">
        <f t="shared" si="11"/>
        <v>1.7142857142857142</v>
      </c>
      <c r="BT12" s="25">
        <f t="shared" si="12"/>
        <v>1.4285714285714286</v>
      </c>
      <c r="BU12" s="25">
        <f t="shared" si="13"/>
        <v>0</v>
      </c>
      <c r="BV12" s="25">
        <f t="shared" si="14"/>
        <v>0</v>
      </c>
      <c r="BW12" s="25">
        <f t="shared" si="15"/>
        <v>1.4285714285714286</v>
      </c>
      <c r="BX12" s="25"/>
      <c r="BY12" s="25"/>
      <c r="BZ12" s="2"/>
      <c r="CA12" s="19" t="s">
        <v>69</v>
      </c>
      <c r="CB12" s="2">
        <v>0</v>
      </c>
      <c r="CC12" s="2">
        <v>0</v>
      </c>
      <c r="CD12" s="2">
        <v>0</v>
      </c>
      <c r="CE12" s="2">
        <v>0</v>
      </c>
      <c r="CF12" s="2">
        <v>0</v>
      </c>
      <c r="CG12" s="2">
        <v>0</v>
      </c>
      <c r="CH12" s="2">
        <v>0</v>
      </c>
      <c r="CI12" s="2">
        <v>0</v>
      </c>
      <c r="CJ12" s="2">
        <v>0</v>
      </c>
      <c r="CK12" s="2">
        <v>0</v>
      </c>
      <c r="CL12" s="2">
        <v>0</v>
      </c>
      <c r="CM12" s="2">
        <v>0</v>
      </c>
      <c r="CN12" s="2">
        <v>0</v>
      </c>
      <c r="CP12" s="2"/>
      <c r="CR12" s="125">
        <v>44171</v>
      </c>
      <c r="CS12" s="2">
        <v>3</v>
      </c>
    </row>
    <row r="13" spans="2:99" x14ac:dyDescent="0.35">
      <c r="B13" s="19">
        <v>8</v>
      </c>
      <c r="C13" s="2">
        <v>122</v>
      </c>
      <c r="D13" s="20"/>
      <c r="E13" s="20">
        <f t="shared" si="16"/>
        <v>17.428571428571427</v>
      </c>
      <c r="F13" s="20"/>
      <c r="G13" s="19" t="s">
        <v>45</v>
      </c>
      <c r="H13" s="2">
        <v>0</v>
      </c>
      <c r="I13" s="2">
        <v>36</v>
      </c>
      <c r="J13" s="2">
        <v>22</v>
      </c>
      <c r="K13" s="2">
        <v>236</v>
      </c>
      <c r="L13" s="2">
        <v>76</v>
      </c>
      <c r="M13" s="2">
        <v>53</v>
      </c>
      <c r="N13" s="2">
        <v>53</v>
      </c>
      <c r="O13" s="2">
        <v>476</v>
      </c>
      <c r="P13" s="2"/>
      <c r="Q13" s="25"/>
      <c r="R13" s="20" t="s">
        <v>52</v>
      </c>
      <c r="S13" s="25">
        <f t="shared" si="0"/>
        <v>35.714285714285715</v>
      </c>
      <c r="T13" s="25">
        <f t="shared" si="1"/>
        <v>1</v>
      </c>
      <c r="U13" s="25">
        <f t="shared" si="2"/>
        <v>0.2857142857142857</v>
      </c>
      <c r="V13" s="25">
        <f t="shared" si="3"/>
        <v>15.571428571428571</v>
      </c>
      <c r="W13" s="25">
        <f t="shared" si="4"/>
        <v>8.2857142857142865</v>
      </c>
      <c r="X13" s="25">
        <f t="shared" si="5"/>
        <v>0.5714285714285714</v>
      </c>
      <c r="Y13" s="25">
        <f t="shared" si="6"/>
        <v>0</v>
      </c>
      <c r="Z13" s="25">
        <f t="shared" si="7"/>
        <v>10</v>
      </c>
      <c r="AA13" s="25"/>
      <c r="AB13" s="25"/>
      <c r="AC13" s="19" t="s">
        <v>307</v>
      </c>
      <c r="AD13" s="2">
        <v>0</v>
      </c>
      <c r="AE13" s="2">
        <v>0</v>
      </c>
      <c r="AF13" s="2">
        <v>0</v>
      </c>
      <c r="AG13" s="2">
        <v>0</v>
      </c>
      <c r="AH13" s="2">
        <v>0</v>
      </c>
      <c r="AI13" s="2">
        <v>0</v>
      </c>
      <c r="AJ13" s="2">
        <v>0</v>
      </c>
      <c r="AK13" s="2">
        <v>0</v>
      </c>
      <c r="AL13" s="2">
        <v>0</v>
      </c>
      <c r="AM13" s="2">
        <v>0</v>
      </c>
      <c r="AN13" s="2">
        <v>0</v>
      </c>
      <c r="AO13" s="2">
        <v>0</v>
      </c>
      <c r="AP13" s="2">
        <v>0</v>
      </c>
      <c r="AS13" s="125">
        <v>44172</v>
      </c>
      <c r="AT13" s="2">
        <v>35</v>
      </c>
      <c r="AX13" s="26"/>
      <c r="AY13" s="19">
        <v>8</v>
      </c>
      <c r="AZ13" s="2">
        <v>35</v>
      </c>
      <c r="BA13" s="26">
        <f t="shared" si="17"/>
        <v>5</v>
      </c>
      <c r="BB13" s="26"/>
      <c r="BC13" s="25"/>
      <c r="BD13" s="19" t="s">
        <v>45</v>
      </c>
      <c r="BE13" s="2">
        <v>0</v>
      </c>
      <c r="BF13" s="2">
        <v>19</v>
      </c>
      <c r="BG13" s="2">
        <v>3</v>
      </c>
      <c r="BH13" s="2">
        <v>71</v>
      </c>
      <c r="BI13" s="2">
        <v>13</v>
      </c>
      <c r="BJ13" s="2">
        <v>12</v>
      </c>
      <c r="BK13" s="2">
        <v>32</v>
      </c>
      <c r="BL13" s="2">
        <v>150</v>
      </c>
      <c r="BM13" s="2"/>
      <c r="BN13" s="2"/>
      <c r="BO13" s="20" t="s">
        <v>50</v>
      </c>
      <c r="BP13" s="25">
        <f t="shared" si="8"/>
        <v>5</v>
      </c>
      <c r="BQ13" s="25">
        <f t="shared" si="9"/>
        <v>0.7142857142857143</v>
      </c>
      <c r="BR13" s="25">
        <f>VLOOKUP($BO13, $BD$7:$BL$875, 4,FALSE)/7</f>
        <v>0.42857142857142855</v>
      </c>
      <c r="BS13" s="25">
        <f t="shared" si="11"/>
        <v>2.2857142857142856</v>
      </c>
      <c r="BT13" s="25">
        <f t="shared" si="12"/>
        <v>0.14285714285714285</v>
      </c>
      <c r="BU13" s="25">
        <f t="shared" si="13"/>
        <v>0</v>
      </c>
      <c r="BV13" s="25">
        <f>VLOOKUP($BO13, $BD$7:$BL$875, 2,FALSE)/7</f>
        <v>0</v>
      </c>
      <c r="BW13" s="25">
        <f t="shared" si="15"/>
        <v>1.4285714285714286</v>
      </c>
      <c r="BX13" s="25"/>
      <c r="BY13" s="25"/>
      <c r="BZ13" s="2"/>
      <c r="CA13" s="19" t="s">
        <v>307</v>
      </c>
      <c r="CB13" s="2">
        <v>0</v>
      </c>
      <c r="CC13" s="2">
        <v>0</v>
      </c>
      <c r="CD13" s="2">
        <v>0</v>
      </c>
      <c r="CE13" s="2">
        <v>0</v>
      </c>
      <c r="CF13" s="2">
        <v>0</v>
      </c>
      <c r="CG13" s="2">
        <v>0</v>
      </c>
      <c r="CH13" s="2">
        <v>0</v>
      </c>
      <c r="CI13" s="2">
        <v>0</v>
      </c>
      <c r="CJ13" s="2">
        <v>0</v>
      </c>
      <c r="CK13" s="2">
        <v>0</v>
      </c>
      <c r="CL13" s="2">
        <v>0</v>
      </c>
      <c r="CM13" s="2">
        <v>0</v>
      </c>
      <c r="CN13" s="2">
        <v>0</v>
      </c>
      <c r="CP13" s="2"/>
      <c r="CR13" s="125">
        <v>44172</v>
      </c>
      <c r="CS13" s="2">
        <v>8</v>
      </c>
    </row>
    <row r="14" spans="2:99" x14ac:dyDescent="0.35">
      <c r="B14" s="19">
        <v>9</v>
      </c>
      <c r="C14" s="2">
        <v>197</v>
      </c>
      <c r="D14" s="20"/>
      <c r="E14" s="20">
        <f t="shared" si="16"/>
        <v>28.142857142857142</v>
      </c>
      <c r="F14" s="20"/>
      <c r="G14" s="19" t="s">
        <v>46</v>
      </c>
      <c r="H14" s="2">
        <v>0</v>
      </c>
      <c r="I14" s="2">
        <v>78</v>
      </c>
      <c r="J14" s="2">
        <v>3</v>
      </c>
      <c r="K14" s="2">
        <v>76</v>
      </c>
      <c r="L14" s="2">
        <v>28</v>
      </c>
      <c r="M14" s="2">
        <v>134</v>
      </c>
      <c r="N14" s="2">
        <v>1</v>
      </c>
      <c r="O14" s="2">
        <v>320</v>
      </c>
      <c r="P14" s="2"/>
      <c r="Q14" s="25"/>
      <c r="R14" s="20" t="s">
        <v>53</v>
      </c>
      <c r="S14" s="25">
        <f t="shared" si="0"/>
        <v>26.714285714285715</v>
      </c>
      <c r="T14" s="25">
        <f t="shared" si="1"/>
        <v>1.5714285714285714</v>
      </c>
      <c r="U14" s="25">
        <f t="shared" si="2"/>
        <v>0.8571428571428571</v>
      </c>
      <c r="V14" s="25">
        <f t="shared" si="3"/>
        <v>13.142857142857142</v>
      </c>
      <c r="W14" s="25">
        <f t="shared" si="4"/>
        <v>3.1428571428571428</v>
      </c>
      <c r="X14" s="25">
        <f t="shared" si="5"/>
        <v>4.5714285714285712</v>
      </c>
      <c r="Y14" s="25">
        <f t="shared" si="6"/>
        <v>0</v>
      </c>
      <c r="Z14" s="25">
        <f t="shared" si="7"/>
        <v>3.4285714285714284</v>
      </c>
      <c r="AA14" s="25"/>
      <c r="AB14" s="25"/>
      <c r="AC14" s="19" t="s">
        <v>70</v>
      </c>
      <c r="AD14" s="2">
        <v>0</v>
      </c>
      <c r="AE14" s="2">
        <v>0</v>
      </c>
      <c r="AF14" s="2">
        <v>0</v>
      </c>
      <c r="AG14" s="2">
        <v>0</v>
      </c>
      <c r="AH14" s="2">
        <v>0</v>
      </c>
      <c r="AI14" s="2">
        <v>0</v>
      </c>
      <c r="AJ14" s="2">
        <v>0</v>
      </c>
      <c r="AK14" s="2">
        <v>0</v>
      </c>
      <c r="AL14" s="2">
        <v>0</v>
      </c>
      <c r="AM14" s="2">
        <v>0</v>
      </c>
      <c r="AN14" s="2">
        <v>0</v>
      </c>
      <c r="AO14" s="2">
        <v>0</v>
      </c>
      <c r="AP14" s="2">
        <v>0</v>
      </c>
      <c r="AS14" s="125">
        <v>44173</v>
      </c>
      <c r="AT14" s="2">
        <v>35</v>
      </c>
      <c r="AX14" s="26"/>
      <c r="AY14" s="19">
        <v>9</v>
      </c>
      <c r="AZ14" s="2">
        <v>42</v>
      </c>
      <c r="BA14" s="26">
        <f t="shared" si="17"/>
        <v>6</v>
      </c>
      <c r="BB14" s="26"/>
      <c r="BC14" s="25"/>
      <c r="BD14" s="19" t="s">
        <v>46</v>
      </c>
      <c r="BE14" s="2">
        <v>0</v>
      </c>
      <c r="BF14" s="2">
        <v>20</v>
      </c>
      <c r="BG14" s="2">
        <v>0</v>
      </c>
      <c r="BH14" s="2">
        <v>28</v>
      </c>
      <c r="BI14" s="2">
        <v>4</v>
      </c>
      <c r="BJ14" s="2">
        <v>64</v>
      </c>
      <c r="BK14" s="2">
        <v>1</v>
      </c>
      <c r="BL14" s="2">
        <v>117</v>
      </c>
      <c r="BM14" s="2"/>
      <c r="BN14" s="2"/>
      <c r="BO14" s="20" t="s">
        <v>51</v>
      </c>
      <c r="BP14" s="25">
        <f t="shared" si="8"/>
        <v>6</v>
      </c>
      <c r="BQ14" s="25">
        <f t="shared" si="9"/>
        <v>1.1428571428571428</v>
      </c>
      <c r="BR14" s="25">
        <f t="shared" si="10"/>
        <v>0.14285714285714285</v>
      </c>
      <c r="BS14" s="25">
        <f t="shared" si="11"/>
        <v>1.8571428571428572</v>
      </c>
      <c r="BT14" s="25">
        <f t="shared" si="12"/>
        <v>1.4285714285714286</v>
      </c>
      <c r="BU14" s="25">
        <f>VLOOKUP($BO14, $BD$7:$BL$875, 8,FALSE)/7</f>
        <v>0</v>
      </c>
      <c r="BV14" s="25">
        <f t="shared" si="14"/>
        <v>0</v>
      </c>
      <c r="BW14" s="25">
        <f t="shared" si="15"/>
        <v>1.4285714285714286</v>
      </c>
      <c r="BX14" s="25"/>
      <c r="BY14" s="25"/>
      <c r="BZ14" s="2"/>
      <c r="CA14" s="19" t="s">
        <v>70</v>
      </c>
      <c r="CB14" s="2">
        <v>0</v>
      </c>
      <c r="CC14" s="2">
        <v>0</v>
      </c>
      <c r="CD14" s="2">
        <v>0</v>
      </c>
      <c r="CE14" s="2">
        <v>0</v>
      </c>
      <c r="CF14" s="2">
        <v>0</v>
      </c>
      <c r="CG14" s="2">
        <v>0</v>
      </c>
      <c r="CH14" s="2">
        <v>0</v>
      </c>
      <c r="CI14" s="2">
        <v>0</v>
      </c>
      <c r="CJ14" s="2">
        <v>0</v>
      </c>
      <c r="CK14" s="2">
        <v>0</v>
      </c>
      <c r="CL14" s="2">
        <v>0</v>
      </c>
      <c r="CM14" s="2">
        <v>0</v>
      </c>
      <c r="CN14" s="2">
        <v>0</v>
      </c>
      <c r="CP14" s="2"/>
      <c r="CR14" s="125">
        <v>44173</v>
      </c>
      <c r="CS14" s="2">
        <v>14</v>
      </c>
    </row>
    <row r="15" spans="2:99" x14ac:dyDescent="0.35">
      <c r="B15" s="19">
        <v>10</v>
      </c>
      <c r="C15" s="2">
        <v>250</v>
      </c>
      <c r="D15" s="20"/>
      <c r="E15" s="20">
        <f t="shared" si="16"/>
        <v>35.714285714285715</v>
      </c>
      <c r="F15" s="20"/>
      <c r="G15" s="19" t="s">
        <v>47</v>
      </c>
      <c r="H15" s="2">
        <v>6</v>
      </c>
      <c r="I15" s="2">
        <v>49</v>
      </c>
      <c r="J15" s="2">
        <v>51</v>
      </c>
      <c r="K15" s="2">
        <v>69</v>
      </c>
      <c r="L15" s="2">
        <v>56</v>
      </c>
      <c r="M15" s="2">
        <v>55</v>
      </c>
      <c r="N15" s="2">
        <v>62</v>
      </c>
      <c r="O15" s="2">
        <v>348</v>
      </c>
      <c r="P15" s="2"/>
      <c r="Q15" s="25"/>
      <c r="R15" s="20" t="s">
        <v>54</v>
      </c>
      <c r="S15" s="25">
        <f>VLOOKUP($R15,$G$7:$O$1048576,9,FALSE)/7</f>
        <v>23.714285714285715</v>
      </c>
      <c r="T15" s="25">
        <f t="shared" si="1"/>
        <v>1.8571428571428572</v>
      </c>
      <c r="U15" s="25">
        <f t="shared" si="2"/>
        <v>0</v>
      </c>
      <c r="V15" s="25">
        <f t="shared" si="3"/>
        <v>11.428571428571429</v>
      </c>
      <c r="W15" s="25">
        <f t="shared" si="4"/>
        <v>3</v>
      </c>
      <c r="X15" s="25">
        <f t="shared" si="5"/>
        <v>1.2857142857142858</v>
      </c>
      <c r="Y15" s="25">
        <f t="shared" si="6"/>
        <v>0</v>
      </c>
      <c r="Z15" s="25">
        <f t="shared" si="7"/>
        <v>6.1428571428571432</v>
      </c>
      <c r="AA15" s="25"/>
      <c r="AB15" s="25"/>
      <c r="AC15" s="19" t="s">
        <v>71</v>
      </c>
      <c r="AD15" s="2">
        <v>0</v>
      </c>
      <c r="AE15" s="2">
        <v>0</v>
      </c>
      <c r="AF15" s="2">
        <v>0</v>
      </c>
      <c r="AG15" s="2">
        <v>0</v>
      </c>
      <c r="AH15" s="2">
        <v>25</v>
      </c>
      <c r="AI15" s="2">
        <v>10</v>
      </c>
      <c r="AJ15" s="2">
        <v>0</v>
      </c>
      <c r="AK15" s="2">
        <v>0</v>
      </c>
      <c r="AL15" s="2">
        <v>0</v>
      </c>
      <c r="AM15" s="2">
        <v>12</v>
      </c>
      <c r="AN15" s="2">
        <v>0</v>
      </c>
      <c r="AO15" s="2">
        <v>0</v>
      </c>
      <c r="AP15" s="2">
        <v>0</v>
      </c>
      <c r="AS15" s="125">
        <v>44174</v>
      </c>
      <c r="AT15" s="2">
        <v>65</v>
      </c>
      <c r="AX15" s="26"/>
      <c r="AY15" s="19">
        <v>10</v>
      </c>
      <c r="AZ15" s="2">
        <v>117</v>
      </c>
      <c r="BA15" s="26">
        <f t="shared" si="17"/>
        <v>16.714285714285715</v>
      </c>
      <c r="BB15" s="26"/>
      <c r="BC15" s="25"/>
      <c r="BD15" s="19" t="s">
        <v>47</v>
      </c>
      <c r="BE15" s="2">
        <v>0</v>
      </c>
      <c r="BF15" s="2">
        <v>17</v>
      </c>
      <c r="BG15" s="2">
        <v>2</v>
      </c>
      <c r="BH15" s="2">
        <v>19</v>
      </c>
      <c r="BI15" s="2">
        <v>23</v>
      </c>
      <c r="BJ15" s="2">
        <v>11</v>
      </c>
      <c r="BK15" s="2">
        <v>6</v>
      </c>
      <c r="BL15" s="2">
        <v>78</v>
      </c>
      <c r="BM15" s="2"/>
      <c r="BN15" s="2"/>
      <c r="BO15" s="20" t="s">
        <v>52</v>
      </c>
      <c r="BP15" s="25">
        <f>VLOOKUP($BO15, $BD$7:$BL$875, 9,FALSE)/7</f>
        <v>16.714285714285715</v>
      </c>
      <c r="BQ15" s="25">
        <f t="shared" si="9"/>
        <v>0.2857142857142857</v>
      </c>
      <c r="BR15" s="25">
        <f t="shared" si="10"/>
        <v>0.14285714285714285</v>
      </c>
      <c r="BS15" s="25">
        <f t="shared" si="11"/>
        <v>5.4285714285714288</v>
      </c>
      <c r="BT15" s="25">
        <f t="shared" si="12"/>
        <v>7</v>
      </c>
      <c r="BU15" s="25">
        <f t="shared" si="13"/>
        <v>0</v>
      </c>
      <c r="BV15" s="25">
        <f t="shared" si="14"/>
        <v>0</v>
      </c>
      <c r="BW15" s="25">
        <f t="shared" si="15"/>
        <v>3.8571428571428572</v>
      </c>
      <c r="BX15" s="25"/>
      <c r="BY15" s="25"/>
      <c r="BZ15" s="2"/>
      <c r="CA15" s="19" t="s">
        <v>71</v>
      </c>
      <c r="CB15" s="2">
        <v>0</v>
      </c>
      <c r="CC15" s="2">
        <v>0</v>
      </c>
      <c r="CD15" s="2">
        <v>0</v>
      </c>
      <c r="CE15" s="2">
        <v>0</v>
      </c>
      <c r="CF15" s="2">
        <v>0</v>
      </c>
      <c r="CG15" s="2">
        <v>0</v>
      </c>
      <c r="CH15" s="2">
        <v>0</v>
      </c>
      <c r="CI15" s="2">
        <v>0</v>
      </c>
      <c r="CJ15" s="2">
        <v>20</v>
      </c>
      <c r="CK15" s="2">
        <v>8</v>
      </c>
      <c r="CL15" s="2">
        <v>0</v>
      </c>
      <c r="CM15" s="2">
        <v>0</v>
      </c>
      <c r="CN15" s="2">
        <v>0</v>
      </c>
      <c r="CP15" s="2"/>
      <c r="CQ15" s="2"/>
      <c r="CR15" s="125">
        <v>44174</v>
      </c>
      <c r="CS15" s="2">
        <v>22</v>
      </c>
    </row>
    <row r="16" spans="2:99" x14ac:dyDescent="0.35">
      <c r="B16" s="19">
        <v>11</v>
      </c>
      <c r="C16" s="2">
        <v>187</v>
      </c>
      <c r="D16" s="20"/>
      <c r="E16" s="20">
        <f t="shared" si="16"/>
        <v>26.714285714285715</v>
      </c>
      <c r="F16" s="20"/>
      <c r="G16" s="19" t="s">
        <v>48</v>
      </c>
      <c r="H16" s="2">
        <v>6</v>
      </c>
      <c r="I16" s="2">
        <v>15</v>
      </c>
      <c r="J16" s="2">
        <v>10</v>
      </c>
      <c r="K16" s="2">
        <v>381</v>
      </c>
      <c r="L16" s="2">
        <v>63</v>
      </c>
      <c r="M16" s="2">
        <v>32</v>
      </c>
      <c r="N16" s="2">
        <v>28</v>
      </c>
      <c r="O16" s="2">
        <v>535</v>
      </c>
      <c r="P16" s="2"/>
      <c r="Q16" s="25"/>
      <c r="R16" s="20" t="s">
        <v>55</v>
      </c>
      <c r="S16" s="25">
        <f t="shared" si="0"/>
        <v>26.285714285714285</v>
      </c>
      <c r="T16" s="25">
        <f t="shared" si="1"/>
        <v>2.8571428571428572</v>
      </c>
      <c r="U16" s="25">
        <f t="shared" si="2"/>
        <v>0</v>
      </c>
      <c r="V16" s="25">
        <f t="shared" si="3"/>
        <v>10.142857142857142</v>
      </c>
      <c r="W16" s="25">
        <f t="shared" si="4"/>
        <v>1.2857142857142858</v>
      </c>
      <c r="X16" s="25">
        <f t="shared" si="5"/>
        <v>4.4285714285714288</v>
      </c>
      <c r="Y16" s="25">
        <f t="shared" si="6"/>
        <v>0</v>
      </c>
      <c r="Z16" s="25">
        <f t="shared" si="7"/>
        <v>7.5714285714285712</v>
      </c>
      <c r="AA16" s="25"/>
      <c r="AB16" s="25"/>
      <c r="AC16" s="19" t="s">
        <v>72</v>
      </c>
      <c r="AD16" s="2">
        <v>37</v>
      </c>
      <c r="AE16" s="2">
        <v>38</v>
      </c>
      <c r="AF16" s="2">
        <v>76</v>
      </c>
      <c r="AG16" s="2">
        <v>28</v>
      </c>
      <c r="AH16" s="2">
        <v>31</v>
      </c>
      <c r="AI16" s="2">
        <v>53</v>
      </c>
      <c r="AJ16" s="2">
        <v>36</v>
      </c>
      <c r="AK16" s="2">
        <v>32</v>
      </c>
      <c r="AL16" s="2">
        <v>66</v>
      </c>
      <c r="AM16" s="2">
        <v>35</v>
      </c>
      <c r="AN16" s="2">
        <v>24</v>
      </c>
      <c r="AO16" s="2">
        <v>41</v>
      </c>
      <c r="AP16" s="2">
        <v>22</v>
      </c>
      <c r="AS16" s="125">
        <v>44175</v>
      </c>
      <c r="AT16" s="2">
        <v>73</v>
      </c>
      <c r="AX16" s="26"/>
      <c r="AY16" s="19">
        <v>11</v>
      </c>
      <c r="AZ16" s="2">
        <v>84</v>
      </c>
      <c r="BA16" s="26">
        <f t="shared" si="17"/>
        <v>12</v>
      </c>
      <c r="BB16" s="26"/>
      <c r="BC16" s="25"/>
      <c r="BD16" s="19" t="s">
        <v>48</v>
      </c>
      <c r="BE16" s="2">
        <v>0</v>
      </c>
      <c r="BF16" s="2">
        <v>6</v>
      </c>
      <c r="BG16" s="2">
        <v>2</v>
      </c>
      <c r="BH16" s="2">
        <v>18</v>
      </c>
      <c r="BI16" s="2">
        <v>15</v>
      </c>
      <c r="BJ16" s="2">
        <v>8</v>
      </c>
      <c r="BK16" s="2">
        <v>1</v>
      </c>
      <c r="BL16" s="2">
        <v>50</v>
      </c>
      <c r="BM16" s="2"/>
      <c r="BN16" s="2"/>
      <c r="BO16" s="20" t="s">
        <v>53</v>
      </c>
      <c r="BP16" s="25">
        <f t="shared" si="8"/>
        <v>12</v>
      </c>
      <c r="BQ16" s="25">
        <f t="shared" si="9"/>
        <v>0.7142857142857143</v>
      </c>
      <c r="BR16" s="25">
        <f t="shared" si="10"/>
        <v>0.42857142857142855</v>
      </c>
      <c r="BS16" s="25">
        <f t="shared" si="11"/>
        <v>6.1428571428571432</v>
      </c>
      <c r="BT16" s="25">
        <f t="shared" si="12"/>
        <v>2.5714285714285716</v>
      </c>
      <c r="BU16" s="25">
        <f t="shared" si="13"/>
        <v>1.5714285714285714</v>
      </c>
      <c r="BV16" s="25">
        <f>VLOOKUP($BO16, $BD$7:$BL$875, 2,FALSE)/7</f>
        <v>0</v>
      </c>
      <c r="BW16" s="25">
        <f t="shared" si="15"/>
        <v>0.5714285714285714</v>
      </c>
      <c r="BX16" s="25"/>
      <c r="BY16" s="25"/>
      <c r="BZ16" s="2"/>
      <c r="CA16" s="19" t="s">
        <v>72</v>
      </c>
      <c r="CB16" s="2">
        <v>3</v>
      </c>
      <c r="CC16" s="2">
        <v>4</v>
      </c>
      <c r="CD16" s="2">
        <v>4</v>
      </c>
      <c r="CE16" s="2">
        <v>6</v>
      </c>
      <c r="CF16" s="2">
        <v>1</v>
      </c>
      <c r="CG16" s="2">
        <v>7</v>
      </c>
      <c r="CH16" s="2">
        <v>13</v>
      </c>
      <c r="CI16" s="2">
        <v>4</v>
      </c>
      <c r="CJ16" s="2">
        <v>3</v>
      </c>
      <c r="CK16" s="2">
        <v>7</v>
      </c>
      <c r="CL16" s="2">
        <v>6</v>
      </c>
      <c r="CM16" s="2">
        <v>4</v>
      </c>
      <c r="CN16" s="2">
        <v>10</v>
      </c>
      <c r="CP16" s="2"/>
      <c r="CR16" s="125">
        <v>44175</v>
      </c>
      <c r="CS16" s="2">
        <v>52</v>
      </c>
    </row>
    <row r="17" spans="2:97" x14ac:dyDescent="0.35">
      <c r="B17" s="19">
        <v>12</v>
      </c>
      <c r="C17" s="2">
        <v>166</v>
      </c>
      <c r="D17" s="20"/>
      <c r="E17" s="20">
        <f t="shared" si="16"/>
        <v>23.714285714285715</v>
      </c>
      <c r="F17" s="20"/>
      <c r="G17" s="19" t="s">
        <v>49</v>
      </c>
      <c r="H17" s="2">
        <v>0</v>
      </c>
      <c r="I17" s="2">
        <v>12</v>
      </c>
      <c r="J17" s="2">
        <v>0</v>
      </c>
      <c r="K17" s="2">
        <v>38</v>
      </c>
      <c r="L17" s="2">
        <v>40</v>
      </c>
      <c r="M17" s="2">
        <v>61</v>
      </c>
      <c r="N17" s="2">
        <v>0</v>
      </c>
      <c r="O17" s="2">
        <v>151</v>
      </c>
      <c r="P17" s="2"/>
      <c r="Q17" s="25"/>
      <c r="R17" s="20"/>
      <c r="S17" s="25"/>
      <c r="T17" s="25"/>
      <c r="U17" s="25"/>
      <c r="V17" s="25"/>
      <c r="W17" s="25"/>
      <c r="X17" s="25"/>
      <c r="Y17" s="26"/>
      <c r="Z17" s="25"/>
      <c r="AA17" s="25"/>
      <c r="AB17" s="25"/>
      <c r="AC17" s="19" t="s">
        <v>73</v>
      </c>
      <c r="AD17" s="2">
        <v>14</v>
      </c>
      <c r="AE17" s="2">
        <v>19</v>
      </c>
      <c r="AF17" s="2">
        <v>0</v>
      </c>
      <c r="AG17" s="2">
        <v>1</v>
      </c>
      <c r="AH17" s="2">
        <v>6</v>
      </c>
      <c r="AI17" s="2">
        <v>31</v>
      </c>
      <c r="AJ17" s="2">
        <v>20</v>
      </c>
      <c r="AK17" s="2">
        <v>6</v>
      </c>
      <c r="AL17" s="2">
        <v>0</v>
      </c>
      <c r="AM17" s="2">
        <v>22</v>
      </c>
      <c r="AN17" s="2">
        <v>12</v>
      </c>
      <c r="AO17" s="2">
        <v>12</v>
      </c>
      <c r="AP17" s="2">
        <v>10</v>
      </c>
      <c r="AS17" s="125">
        <v>44176</v>
      </c>
      <c r="AT17" s="2">
        <v>30</v>
      </c>
      <c r="AX17" s="26"/>
      <c r="AY17" s="19">
        <v>12</v>
      </c>
      <c r="AZ17" s="2">
        <v>67</v>
      </c>
      <c r="BA17" s="26">
        <f t="shared" si="17"/>
        <v>9.5714285714285712</v>
      </c>
      <c r="BB17" s="26"/>
      <c r="BC17" s="25"/>
      <c r="BD17" s="19" t="s">
        <v>49</v>
      </c>
      <c r="BE17" s="2">
        <v>0</v>
      </c>
      <c r="BF17" s="2">
        <v>3</v>
      </c>
      <c r="BG17" s="2">
        <v>0</v>
      </c>
      <c r="BH17" s="2">
        <v>12</v>
      </c>
      <c r="BI17" s="2">
        <v>10</v>
      </c>
      <c r="BJ17" s="2">
        <v>10</v>
      </c>
      <c r="BK17" s="2">
        <v>0</v>
      </c>
      <c r="BL17" s="2">
        <v>35</v>
      </c>
      <c r="BM17" s="2"/>
      <c r="BN17" s="2"/>
      <c r="BO17" s="20" t="s">
        <v>54</v>
      </c>
      <c r="BP17" s="25">
        <f t="shared" si="8"/>
        <v>9.5714285714285712</v>
      </c>
      <c r="BQ17" s="25">
        <f t="shared" si="9"/>
        <v>0.8571428571428571</v>
      </c>
      <c r="BR17" s="25">
        <f t="shared" si="10"/>
        <v>0</v>
      </c>
      <c r="BS17" s="25">
        <f t="shared" si="11"/>
        <v>6.1428571428571432</v>
      </c>
      <c r="BT17" s="25">
        <f t="shared" si="12"/>
        <v>0.8571428571428571</v>
      </c>
      <c r="BU17" s="25">
        <f>VLOOKUP($BO17, $BD$7:$BL$875, 8,FALSE)/7</f>
        <v>0.5714285714285714</v>
      </c>
      <c r="BV17" s="25">
        <f t="shared" si="14"/>
        <v>0</v>
      </c>
      <c r="BW17" s="25">
        <f>VLOOKUP($BO17, $BD$7:$BL$875, 6,FALSE)/7</f>
        <v>1.1428571428571428</v>
      </c>
      <c r="BX17" s="25"/>
      <c r="BY17" s="25"/>
      <c r="BZ17" s="2"/>
      <c r="CA17" s="19" t="s">
        <v>73</v>
      </c>
      <c r="CB17" s="2">
        <v>7</v>
      </c>
      <c r="CC17" s="2">
        <v>17</v>
      </c>
      <c r="CD17" s="2">
        <v>6</v>
      </c>
      <c r="CE17" s="2">
        <v>6</v>
      </c>
      <c r="CF17" s="2">
        <v>2</v>
      </c>
      <c r="CG17" s="2">
        <v>10</v>
      </c>
      <c r="CH17" s="2">
        <v>0</v>
      </c>
      <c r="CI17" s="2">
        <v>0</v>
      </c>
      <c r="CJ17" s="2">
        <v>3</v>
      </c>
      <c r="CK17" s="2">
        <v>15</v>
      </c>
      <c r="CL17" s="2">
        <v>10</v>
      </c>
      <c r="CM17" s="2">
        <v>3</v>
      </c>
      <c r="CN17" s="2">
        <v>0</v>
      </c>
      <c r="CP17" s="2"/>
      <c r="CR17" s="125">
        <v>44176</v>
      </c>
      <c r="CS17" s="2">
        <v>12</v>
      </c>
    </row>
    <row r="18" spans="2:97" x14ac:dyDescent="0.35">
      <c r="B18" s="19">
        <v>13</v>
      </c>
      <c r="C18" s="2">
        <v>184</v>
      </c>
      <c r="D18" s="20"/>
      <c r="E18" s="20">
        <f t="shared" si="16"/>
        <v>26.285714285714285</v>
      </c>
      <c r="F18" s="20"/>
      <c r="G18" s="19" t="s">
        <v>50</v>
      </c>
      <c r="H18" s="2">
        <v>0</v>
      </c>
      <c r="I18" s="2">
        <v>6</v>
      </c>
      <c r="J18" s="2">
        <v>24</v>
      </c>
      <c r="K18" s="2">
        <v>48</v>
      </c>
      <c r="L18" s="2">
        <v>38</v>
      </c>
      <c r="M18" s="2">
        <v>6</v>
      </c>
      <c r="N18" s="2">
        <v>0</v>
      </c>
      <c r="O18" s="2">
        <v>122</v>
      </c>
      <c r="P18" s="2"/>
      <c r="Q18" s="25"/>
      <c r="R18" s="25"/>
      <c r="S18" s="25"/>
      <c r="T18" s="25"/>
      <c r="U18" s="25"/>
      <c r="V18" s="25"/>
      <c r="W18" s="25"/>
      <c r="X18" s="25"/>
      <c r="Y18" s="25"/>
      <c r="Z18" s="25"/>
      <c r="AA18" s="25"/>
      <c r="AB18" s="25"/>
      <c r="AC18" s="19" t="s">
        <v>74</v>
      </c>
      <c r="AD18" s="2">
        <v>0</v>
      </c>
      <c r="AE18" s="2">
        <v>0</v>
      </c>
      <c r="AF18" s="2">
        <v>0</v>
      </c>
      <c r="AG18" s="2">
        <v>0</v>
      </c>
      <c r="AH18" s="2">
        <v>0</v>
      </c>
      <c r="AI18" s="2">
        <v>0</v>
      </c>
      <c r="AJ18" s="2">
        <v>0</v>
      </c>
      <c r="AK18" s="2">
        <v>0</v>
      </c>
      <c r="AL18" s="2">
        <v>6</v>
      </c>
      <c r="AM18" s="2">
        <v>0</v>
      </c>
      <c r="AN18" s="2">
        <v>0</v>
      </c>
      <c r="AO18" s="2">
        <v>0</v>
      </c>
      <c r="AP18" s="2">
        <v>0</v>
      </c>
      <c r="AS18" s="125">
        <v>44177</v>
      </c>
      <c r="AT18" s="2">
        <v>58</v>
      </c>
      <c r="AX18" s="26"/>
      <c r="AY18" s="19">
        <v>13</v>
      </c>
      <c r="AZ18" s="2">
        <v>55</v>
      </c>
      <c r="BA18" s="26">
        <f t="shared" si="17"/>
        <v>7.8571428571428568</v>
      </c>
      <c r="BB18" s="26"/>
      <c r="BC18" s="25"/>
      <c r="BD18" s="19" t="s">
        <v>50</v>
      </c>
      <c r="BE18" s="2">
        <v>0</v>
      </c>
      <c r="BF18" s="2">
        <v>5</v>
      </c>
      <c r="BG18" s="2">
        <v>3</v>
      </c>
      <c r="BH18" s="2">
        <v>16</v>
      </c>
      <c r="BI18" s="2">
        <v>10</v>
      </c>
      <c r="BJ18" s="2">
        <v>1</v>
      </c>
      <c r="BK18" s="2">
        <v>0</v>
      </c>
      <c r="BL18" s="2">
        <v>35</v>
      </c>
      <c r="BM18" s="2"/>
      <c r="BN18" s="2"/>
      <c r="BO18" s="20" t="s">
        <v>55</v>
      </c>
      <c r="BP18" s="25">
        <f t="shared" si="8"/>
        <v>7.8571428571428568</v>
      </c>
      <c r="BQ18" s="25">
        <f t="shared" si="9"/>
        <v>2.1428571428571428</v>
      </c>
      <c r="BR18" s="25">
        <f t="shared" si="10"/>
        <v>0</v>
      </c>
      <c r="BS18" s="25">
        <f t="shared" si="11"/>
        <v>2.8571428571428572</v>
      </c>
      <c r="BT18" s="25">
        <f t="shared" si="12"/>
        <v>0.5714285714285714</v>
      </c>
      <c r="BU18" s="25">
        <f t="shared" si="13"/>
        <v>1.1428571428571428</v>
      </c>
      <c r="BV18" s="25">
        <f t="shared" si="14"/>
        <v>0</v>
      </c>
      <c r="BW18" s="25">
        <f t="shared" si="15"/>
        <v>1.1428571428571428</v>
      </c>
      <c r="BX18" s="25"/>
      <c r="BY18" s="25"/>
      <c r="BZ18" s="2"/>
      <c r="CA18" s="19" t="s">
        <v>74</v>
      </c>
      <c r="CB18" s="2">
        <v>0</v>
      </c>
      <c r="CC18" s="2">
        <v>0</v>
      </c>
      <c r="CD18" s="2">
        <v>0</v>
      </c>
      <c r="CE18" s="2">
        <v>0</v>
      </c>
      <c r="CF18" s="2">
        <v>0</v>
      </c>
      <c r="CG18" s="2">
        <v>0</v>
      </c>
      <c r="CH18" s="2">
        <v>0</v>
      </c>
      <c r="CI18" s="2">
        <v>0</v>
      </c>
      <c r="CJ18" s="2">
        <v>0</v>
      </c>
      <c r="CK18" s="2">
        <v>0</v>
      </c>
      <c r="CL18" s="2">
        <v>0</v>
      </c>
      <c r="CM18" s="2">
        <v>0</v>
      </c>
      <c r="CN18" s="2">
        <v>6</v>
      </c>
      <c r="CP18" s="2"/>
      <c r="CR18" s="125">
        <v>44177</v>
      </c>
      <c r="CS18" s="2">
        <v>16</v>
      </c>
    </row>
    <row r="19" spans="2:97" x14ac:dyDescent="0.35">
      <c r="D19" s="20"/>
      <c r="E19" s="20">
        <f t="shared" si="16"/>
        <v>0</v>
      </c>
      <c r="F19" s="20"/>
      <c r="G19" s="19" t="s">
        <v>51</v>
      </c>
      <c r="H19" s="2">
        <v>0</v>
      </c>
      <c r="I19" s="2">
        <v>38</v>
      </c>
      <c r="J19" s="2">
        <v>2</v>
      </c>
      <c r="K19" s="2">
        <v>61</v>
      </c>
      <c r="L19" s="2">
        <v>66</v>
      </c>
      <c r="M19" s="2">
        <v>30</v>
      </c>
      <c r="N19" s="2">
        <v>0</v>
      </c>
      <c r="O19" s="2">
        <v>197</v>
      </c>
      <c r="P19" s="2"/>
      <c r="Q19" s="25"/>
      <c r="R19" s="25"/>
      <c r="S19" s="25"/>
      <c r="T19" s="25"/>
      <c r="U19" s="25"/>
      <c r="V19" s="25"/>
      <c r="W19" s="25"/>
      <c r="X19" s="25"/>
      <c r="Y19" s="25"/>
      <c r="Z19" s="25"/>
      <c r="AA19" s="25"/>
      <c r="AB19" s="25"/>
      <c r="AC19" s="19" t="s">
        <v>75</v>
      </c>
      <c r="AD19" s="2">
        <v>0</v>
      </c>
      <c r="AE19" s="2">
        <v>0</v>
      </c>
      <c r="AF19" s="2">
        <v>0</v>
      </c>
      <c r="AG19" s="2">
        <v>0</v>
      </c>
      <c r="AH19" s="2">
        <v>0</v>
      </c>
      <c r="AI19" s="2">
        <v>0</v>
      </c>
      <c r="AJ19" s="2">
        <v>0</v>
      </c>
      <c r="AK19" s="2">
        <v>0</v>
      </c>
      <c r="AL19" s="2">
        <v>0</v>
      </c>
      <c r="AM19" s="2">
        <v>0</v>
      </c>
      <c r="AN19" s="2">
        <v>0</v>
      </c>
      <c r="AO19" s="2">
        <v>0</v>
      </c>
      <c r="AP19" s="2">
        <v>0</v>
      </c>
      <c r="AS19" s="125">
        <v>44178</v>
      </c>
      <c r="AT19" s="2">
        <v>53</v>
      </c>
      <c r="AX19" s="26"/>
      <c r="BA19" s="26">
        <f t="shared" si="17"/>
        <v>0</v>
      </c>
      <c r="BB19" s="26"/>
      <c r="BC19" s="25"/>
      <c r="BD19" s="19" t="s">
        <v>51</v>
      </c>
      <c r="BE19" s="2">
        <v>0</v>
      </c>
      <c r="BF19" s="2">
        <v>8</v>
      </c>
      <c r="BG19" s="2">
        <v>1</v>
      </c>
      <c r="BH19" s="2">
        <v>13</v>
      </c>
      <c r="BI19" s="2">
        <v>10</v>
      </c>
      <c r="BJ19" s="2">
        <v>10</v>
      </c>
      <c r="BK19" s="2">
        <v>0</v>
      </c>
      <c r="BL19" s="2">
        <v>42</v>
      </c>
      <c r="BM19" s="2"/>
      <c r="BN19" s="2"/>
      <c r="BO19" s="20"/>
      <c r="BP19" s="25"/>
      <c r="BQ19" s="25"/>
      <c r="BR19" s="25"/>
      <c r="BS19" s="25"/>
      <c r="BT19" s="25"/>
      <c r="BU19" s="25"/>
      <c r="BV19" s="25"/>
      <c r="BW19" s="25"/>
      <c r="BX19" s="25"/>
      <c r="BY19" s="25"/>
      <c r="BZ19" s="2"/>
      <c r="CA19" s="19" t="s">
        <v>75</v>
      </c>
      <c r="CB19" s="2">
        <v>0</v>
      </c>
      <c r="CC19" s="2">
        <v>0</v>
      </c>
      <c r="CD19" s="2">
        <v>0</v>
      </c>
      <c r="CE19" s="2">
        <v>0</v>
      </c>
      <c r="CF19" s="2">
        <v>0</v>
      </c>
      <c r="CG19" s="2">
        <v>0</v>
      </c>
      <c r="CH19" s="2">
        <v>0</v>
      </c>
      <c r="CI19" s="2">
        <v>0</v>
      </c>
      <c r="CJ19" s="2">
        <v>0</v>
      </c>
      <c r="CK19" s="2">
        <v>0</v>
      </c>
      <c r="CL19" s="2">
        <v>0</v>
      </c>
      <c r="CM19" s="2">
        <v>0</v>
      </c>
      <c r="CN19" s="2">
        <v>0</v>
      </c>
      <c r="CP19" s="2"/>
      <c r="CR19" s="125">
        <v>44178</v>
      </c>
      <c r="CS19" s="2">
        <v>17</v>
      </c>
    </row>
    <row r="20" spans="2:97" x14ac:dyDescent="0.35">
      <c r="D20" s="20"/>
      <c r="E20" s="20">
        <f t="shared" si="16"/>
        <v>0</v>
      </c>
      <c r="F20" s="20"/>
      <c r="G20" s="19" t="s">
        <v>39</v>
      </c>
      <c r="H20" s="2">
        <v>39</v>
      </c>
      <c r="I20" s="2">
        <v>409</v>
      </c>
      <c r="J20" s="2">
        <v>257</v>
      </c>
      <c r="K20" s="2">
        <v>1476</v>
      </c>
      <c r="L20" s="2">
        <v>699</v>
      </c>
      <c r="M20" s="2">
        <v>547</v>
      </c>
      <c r="N20" s="2">
        <v>266</v>
      </c>
      <c r="O20" s="2">
        <v>3693</v>
      </c>
      <c r="P20" s="2"/>
      <c r="AC20" s="19" t="s">
        <v>76</v>
      </c>
      <c r="AD20" s="2">
        <v>0</v>
      </c>
      <c r="AE20" s="2">
        <v>0</v>
      </c>
      <c r="AF20" s="2">
        <v>0</v>
      </c>
      <c r="AG20" s="2">
        <v>0</v>
      </c>
      <c r="AH20" s="2">
        <v>0</v>
      </c>
      <c r="AI20" s="2">
        <v>0</v>
      </c>
      <c r="AJ20" s="2">
        <v>0</v>
      </c>
      <c r="AK20" s="2">
        <v>0</v>
      </c>
      <c r="AL20" s="2">
        <v>0</v>
      </c>
      <c r="AM20" s="2">
        <v>0</v>
      </c>
      <c r="AN20" s="2">
        <v>0</v>
      </c>
      <c r="AO20" s="2">
        <v>0</v>
      </c>
      <c r="AP20" s="2">
        <v>0</v>
      </c>
      <c r="AS20" s="125">
        <v>44179</v>
      </c>
      <c r="AT20" s="2">
        <v>57</v>
      </c>
      <c r="AX20" s="26"/>
      <c r="BA20" s="26">
        <f>AZ20/7</f>
        <v>0</v>
      </c>
      <c r="BB20" s="26"/>
      <c r="BD20" s="19" t="s">
        <v>39</v>
      </c>
      <c r="BE20" s="2">
        <v>14</v>
      </c>
      <c r="BF20" s="2">
        <v>161</v>
      </c>
      <c r="BG20" s="2">
        <v>86</v>
      </c>
      <c r="BH20" s="2">
        <v>388</v>
      </c>
      <c r="BI20" s="2">
        <v>194</v>
      </c>
      <c r="BJ20" s="2">
        <v>241</v>
      </c>
      <c r="BK20" s="2">
        <v>72</v>
      </c>
      <c r="BL20" s="2">
        <v>1156</v>
      </c>
      <c r="BM20" s="2"/>
      <c r="BN20" s="2"/>
      <c r="BZ20" s="2"/>
      <c r="CA20" s="19" t="s">
        <v>76</v>
      </c>
      <c r="CB20" s="2">
        <v>0</v>
      </c>
      <c r="CC20" s="2">
        <v>0</v>
      </c>
      <c r="CD20" s="2">
        <v>0</v>
      </c>
      <c r="CE20" s="2">
        <v>0</v>
      </c>
      <c r="CF20" s="2">
        <v>0</v>
      </c>
      <c r="CG20" s="2">
        <v>0</v>
      </c>
      <c r="CH20" s="2">
        <v>0</v>
      </c>
      <c r="CI20" s="2">
        <v>0</v>
      </c>
      <c r="CJ20" s="2">
        <v>0</v>
      </c>
      <c r="CK20" s="2">
        <v>0</v>
      </c>
      <c r="CL20" s="2">
        <v>0</v>
      </c>
      <c r="CM20" s="2">
        <v>0</v>
      </c>
      <c r="CN20" s="2">
        <v>0</v>
      </c>
      <c r="CP20" s="2"/>
      <c r="CR20" s="125">
        <v>44179</v>
      </c>
      <c r="CS20" s="2">
        <v>18</v>
      </c>
    </row>
    <row r="21" spans="2:97" x14ac:dyDescent="0.35">
      <c r="AC21" s="19" t="s">
        <v>77</v>
      </c>
      <c r="AD21" s="2">
        <v>0</v>
      </c>
      <c r="AE21" s="2">
        <v>0</v>
      </c>
      <c r="AF21" s="2">
        <v>0</v>
      </c>
      <c r="AG21" s="2">
        <v>0</v>
      </c>
      <c r="AH21" s="2">
        <v>0</v>
      </c>
      <c r="AI21" s="2">
        <v>0</v>
      </c>
      <c r="AJ21" s="2">
        <v>0</v>
      </c>
      <c r="AK21" s="2">
        <v>0</v>
      </c>
      <c r="AL21" s="2">
        <v>0</v>
      </c>
      <c r="AM21" s="2">
        <v>0</v>
      </c>
      <c r="AN21" s="2">
        <v>0</v>
      </c>
      <c r="AO21" s="2">
        <v>0</v>
      </c>
      <c r="AP21" s="2">
        <v>0</v>
      </c>
      <c r="AS21" s="125">
        <v>44180</v>
      </c>
      <c r="AT21" s="2">
        <v>46</v>
      </c>
      <c r="BZ21" s="2"/>
      <c r="CA21" s="19" t="s">
        <v>77</v>
      </c>
      <c r="CB21" s="2">
        <v>0</v>
      </c>
      <c r="CC21" s="2">
        <v>0</v>
      </c>
      <c r="CD21" s="2">
        <v>0</v>
      </c>
      <c r="CE21" s="2">
        <v>0</v>
      </c>
      <c r="CF21" s="2">
        <v>0</v>
      </c>
      <c r="CG21" s="2">
        <v>0</v>
      </c>
      <c r="CH21" s="2">
        <v>0</v>
      </c>
      <c r="CI21" s="2">
        <v>0</v>
      </c>
      <c r="CJ21" s="2">
        <v>0</v>
      </c>
      <c r="CK21" s="2">
        <v>0</v>
      </c>
      <c r="CL21" s="2">
        <v>0</v>
      </c>
      <c r="CM21" s="2">
        <v>0</v>
      </c>
      <c r="CN21" s="2">
        <v>0</v>
      </c>
      <c r="CP21" s="2"/>
      <c r="CR21" s="125">
        <v>44180</v>
      </c>
      <c r="CS21" s="2">
        <v>13</v>
      </c>
    </row>
    <row r="22" spans="2:97" x14ac:dyDescent="0.35">
      <c r="AC22" s="19" t="s">
        <v>78</v>
      </c>
      <c r="AD22" s="2">
        <v>0</v>
      </c>
      <c r="AE22" s="2">
        <v>0</v>
      </c>
      <c r="AF22" s="2">
        <v>0</v>
      </c>
      <c r="AG22" s="2">
        <v>0</v>
      </c>
      <c r="AH22" s="2">
        <v>0</v>
      </c>
      <c r="AI22" s="2">
        <v>0</v>
      </c>
      <c r="AJ22" s="2">
        <v>0</v>
      </c>
      <c r="AK22" s="2">
        <v>0</v>
      </c>
      <c r="AL22" s="2">
        <v>0</v>
      </c>
      <c r="AM22" s="2">
        <v>0</v>
      </c>
      <c r="AN22" s="2">
        <v>0</v>
      </c>
      <c r="AO22" s="2">
        <v>0</v>
      </c>
      <c r="AP22" s="2">
        <v>0</v>
      </c>
      <c r="AS22" s="125">
        <v>44181</v>
      </c>
      <c r="AT22" s="2">
        <v>67</v>
      </c>
      <c r="BZ22" s="2"/>
      <c r="CA22" s="19" t="s">
        <v>78</v>
      </c>
      <c r="CB22" s="2">
        <v>0</v>
      </c>
      <c r="CC22" s="2">
        <v>0</v>
      </c>
      <c r="CD22" s="2">
        <v>0</v>
      </c>
      <c r="CE22" s="2">
        <v>0</v>
      </c>
      <c r="CF22" s="2">
        <v>0</v>
      </c>
      <c r="CG22" s="2">
        <v>0</v>
      </c>
      <c r="CH22" s="2">
        <v>0</v>
      </c>
      <c r="CI22" s="2">
        <v>0</v>
      </c>
      <c r="CJ22" s="2">
        <v>0</v>
      </c>
      <c r="CK22" s="2">
        <v>0</v>
      </c>
      <c r="CL22" s="2">
        <v>0</v>
      </c>
      <c r="CM22" s="2">
        <v>0</v>
      </c>
      <c r="CN22" s="2">
        <v>0</v>
      </c>
      <c r="CP22" s="2"/>
      <c r="CR22" s="125">
        <v>44181</v>
      </c>
      <c r="CS22" s="2">
        <v>41</v>
      </c>
    </row>
    <row r="23" spans="2:97" x14ac:dyDescent="0.35">
      <c r="AC23" s="19" t="s">
        <v>79</v>
      </c>
      <c r="AD23" s="2">
        <v>0</v>
      </c>
      <c r="AE23" s="2">
        <v>0</v>
      </c>
      <c r="AF23" s="2">
        <v>0</v>
      </c>
      <c r="AG23" s="2">
        <v>0</v>
      </c>
      <c r="AH23" s="2">
        <v>0</v>
      </c>
      <c r="AI23" s="2">
        <v>0</v>
      </c>
      <c r="AJ23" s="2">
        <v>0</v>
      </c>
      <c r="AK23" s="2">
        <v>0</v>
      </c>
      <c r="AL23" s="2">
        <v>0</v>
      </c>
      <c r="AM23" s="2">
        <v>0</v>
      </c>
      <c r="AN23" s="2">
        <v>0</v>
      </c>
      <c r="AO23" s="2">
        <v>0</v>
      </c>
      <c r="AP23" s="2">
        <v>0</v>
      </c>
      <c r="AS23" s="125">
        <v>44182</v>
      </c>
      <c r="AT23" s="2">
        <v>82</v>
      </c>
      <c r="BZ23" s="2"/>
      <c r="CA23" s="19" t="s">
        <v>79</v>
      </c>
      <c r="CB23" s="2">
        <v>0</v>
      </c>
      <c r="CC23" s="2">
        <v>0</v>
      </c>
      <c r="CD23" s="2">
        <v>0</v>
      </c>
      <c r="CE23" s="2">
        <v>0</v>
      </c>
      <c r="CF23" s="2">
        <v>0</v>
      </c>
      <c r="CG23" s="2">
        <v>0</v>
      </c>
      <c r="CH23" s="2">
        <v>0</v>
      </c>
      <c r="CI23" s="2">
        <v>0</v>
      </c>
      <c r="CJ23" s="2">
        <v>0</v>
      </c>
      <c r="CK23" s="2">
        <v>0</v>
      </c>
      <c r="CL23" s="2">
        <v>0</v>
      </c>
      <c r="CM23" s="2">
        <v>0</v>
      </c>
      <c r="CN23" s="2">
        <v>0</v>
      </c>
      <c r="CP23" s="2"/>
      <c r="CR23" s="125">
        <v>44182</v>
      </c>
      <c r="CS23" s="2">
        <v>17</v>
      </c>
    </row>
    <row r="24" spans="2:97" x14ac:dyDescent="0.35">
      <c r="AC24" s="19" t="s">
        <v>80</v>
      </c>
      <c r="AD24" s="2">
        <v>0</v>
      </c>
      <c r="AE24" s="2">
        <v>0</v>
      </c>
      <c r="AF24" s="2">
        <v>0</v>
      </c>
      <c r="AG24" s="2">
        <v>0</v>
      </c>
      <c r="AH24" s="2">
        <v>0</v>
      </c>
      <c r="AI24" s="2">
        <v>0</v>
      </c>
      <c r="AJ24" s="2">
        <v>0</v>
      </c>
      <c r="AK24" s="2">
        <v>0</v>
      </c>
      <c r="AL24" s="2">
        <v>0</v>
      </c>
      <c r="AM24" s="2">
        <v>0</v>
      </c>
      <c r="AN24" s="2">
        <v>0</v>
      </c>
      <c r="AO24" s="2">
        <v>0</v>
      </c>
      <c r="AP24" s="2">
        <v>0</v>
      </c>
      <c r="AS24" s="125">
        <v>44183</v>
      </c>
      <c r="AT24" s="2">
        <v>69</v>
      </c>
      <c r="BZ24" s="2"/>
      <c r="CA24" s="19" t="s">
        <v>80</v>
      </c>
      <c r="CB24" s="2">
        <v>0</v>
      </c>
      <c r="CC24" s="2">
        <v>0</v>
      </c>
      <c r="CD24" s="2">
        <v>0</v>
      </c>
      <c r="CE24" s="2">
        <v>0</v>
      </c>
      <c r="CF24" s="2">
        <v>0</v>
      </c>
      <c r="CG24" s="2">
        <v>0</v>
      </c>
      <c r="CH24" s="2">
        <v>0</v>
      </c>
      <c r="CI24" s="2">
        <v>0</v>
      </c>
      <c r="CJ24" s="2">
        <v>0</v>
      </c>
      <c r="CK24" s="2">
        <v>0</v>
      </c>
      <c r="CL24" s="2">
        <v>0</v>
      </c>
      <c r="CM24" s="2">
        <v>0</v>
      </c>
      <c r="CN24" s="2">
        <v>0</v>
      </c>
      <c r="CP24" s="2"/>
      <c r="CR24" s="125">
        <v>44183</v>
      </c>
      <c r="CS24" s="2">
        <v>18</v>
      </c>
    </row>
    <row r="25" spans="2:97" x14ac:dyDescent="0.35">
      <c r="AC25" s="19" t="s">
        <v>81</v>
      </c>
      <c r="AD25" s="2">
        <v>0</v>
      </c>
      <c r="AE25" s="2">
        <v>0</v>
      </c>
      <c r="AF25" s="2">
        <v>0</v>
      </c>
      <c r="AG25" s="2">
        <v>0</v>
      </c>
      <c r="AH25" s="2">
        <v>0</v>
      </c>
      <c r="AI25" s="2">
        <v>0</v>
      </c>
      <c r="AJ25" s="2">
        <v>0</v>
      </c>
      <c r="AK25" s="2">
        <v>0</v>
      </c>
      <c r="AL25" s="2">
        <v>0</v>
      </c>
      <c r="AM25" s="2">
        <v>0</v>
      </c>
      <c r="AN25" s="2">
        <v>0</v>
      </c>
      <c r="AO25" s="2">
        <v>0</v>
      </c>
      <c r="AP25" s="2">
        <v>0</v>
      </c>
      <c r="AS25" s="125">
        <v>44184</v>
      </c>
      <c r="AT25" s="2">
        <v>90</v>
      </c>
      <c r="BZ25" s="2"/>
      <c r="CA25" s="19" t="s">
        <v>81</v>
      </c>
      <c r="CB25" s="2">
        <v>0</v>
      </c>
      <c r="CC25" s="2">
        <v>0</v>
      </c>
      <c r="CD25" s="2">
        <v>0</v>
      </c>
      <c r="CE25" s="2">
        <v>0</v>
      </c>
      <c r="CF25" s="2">
        <v>0</v>
      </c>
      <c r="CG25" s="2">
        <v>0</v>
      </c>
      <c r="CH25" s="2">
        <v>0</v>
      </c>
      <c r="CI25" s="2">
        <v>0</v>
      </c>
      <c r="CJ25" s="2">
        <v>0</v>
      </c>
      <c r="CK25" s="2">
        <v>0</v>
      </c>
      <c r="CL25" s="2">
        <v>0</v>
      </c>
      <c r="CM25" s="2">
        <v>0</v>
      </c>
      <c r="CN25" s="2">
        <v>0</v>
      </c>
      <c r="CP25" s="2"/>
      <c r="CR25" s="125">
        <v>44184</v>
      </c>
      <c r="CS25" s="2">
        <v>18</v>
      </c>
    </row>
    <row r="26" spans="2:97" x14ac:dyDescent="0.35">
      <c r="AC26" s="19" t="s">
        <v>82</v>
      </c>
      <c r="AD26" s="2">
        <v>0</v>
      </c>
      <c r="AE26" s="2">
        <v>0</v>
      </c>
      <c r="AF26" s="2">
        <v>0</v>
      </c>
      <c r="AG26" s="2">
        <v>0</v>
      </c>
      <c r="AH26" s="2">
        <v>0</v>
      </c>
      <c r="AI26" s="2">
        <v>0</v>
      </c>
      <c r="AJ26" s="2">
        <v>0</v>
      </c>
      <c r="AK26" s="2">
        <v>0</v>
      </c>
      <c r="AL26" s="2">
        <v>0</v>
      </c>
      <c r="AM26" s="2">
        <v>0</v>
      </c>
      <c r="AN26" s="2">
        <v>0</v>
      </c>
      <c r="AO26" s="2">
        <v>0</v>
      </c>
      <c r="AP26" s="2">
        <v>0</v>
      </c>
      <c r="AS26" s="125">
        <v>44185</v>
      </c>
      <c r="AT26" s="2">
        <v>65</v>
      </c>
      <c r="BZ26" s="2"/>
      <c r="CA26" s="19" t="s">
        <v>82</v>
      </c>
      <c r="CB26" s="2">
        <v>0</v>
      </c>
      <c r="CC26" s="2">
        <v>0</v>
      </c>
      <c r="CD26" s="2">
        <v>0</v>
      </c>
      <c r="CE26" s="2">
        <v>0</v>
      </c>
      <c r="CF26" s="2">
        <v>0</v>
      </c>
      <c r="CG26" s="2">
        <v>0</v>
      </c>
      <c r="CH26" s="2">
        <v>0</v>
      </c>
      <c r="CI26" s="2">
        <v>0</v>
      </c>
      <c r="CJ26" s="2">
        <v>0</v>
      </c>
      <c r="CK26" s="2">
        <v>0</v>
      </c>
      <c r="CL26" s="2">
        <v>0</v>
      </c>
      <c r="CM26" s="2">
        <v>0</v>
      </c>
      <c r="CN26" s="2">
        <v>0</v>
      </c>
      <c r="CP26" s="2"/>
      <c r="CR26" s="125">
        <v>44185</v>
      </c>
      <c r="CS26" s="2">
        <v>25</v>
      </c>
    </row>
    <row r="27" spans="2:97" x14ac:dyDescent="0.35">
      <c r="AC27" s="19" t="s">
        <v>83</v>
      </c>
      <c r="AD27" s="2">
        <v>0</v>
      </c>
      <c r="AE27" s="2">
        <v>0</v>
      </c>
      <c r="AF27" s="2">
        <v>0</v>
      </c>
      <c r="AG27" s="2">
        <v>0</v>
      </c>
      <c r="AH27" s="2">
        <v>0</v>
      </c>
      <c r="AI27" s="2">
        <v>0</v>
      </c>
      <c r="AJ27" s="2">
        <v>0</v>
      </c>
      <c r="AK27" s="2">
        <v>0</v>
      </c>
      <c r="AL27" s="2">
        <v>0</v>
      </c>
      <c r="AM27" s="2">
        <v>0</v>
      </c>
      <c r="AN27" s="2">
        <v>0</v>
      </c>
      <c r="AO27" s="2">
        <v>0</v>
      </c>
      <c r="AP27" s="2">
        <v>0</v>
      </c>
      <c r="AS27" s="125">
        <v>44186</v>
      </c>
      <c r="AT27" s="2">
        <v>30</v>
      </c>
      <c r="BZ27" s="2"/>
      <c r="CA27" s="19" t="s">
        <v>83</v>
      </c>
      <c r="CB27" s="2">
        <v>0</v>
      </c>
      <c r="CC27" s="2">
        <v>0</v>
      </c>
      <c r="CD27" s="2">
        <v>0</v>
      </c>
      <c r="CE27" s="2">
        <v>0</v>
      </c>
      <c r="CF27" s="2">
        <v>0</v>
      </c>
      <c r="CG27" s="2">
        <v>0</v>
      </c>
      <c r="CH27" s="2">
        <v>0</v>
      </c>
      <c r="CI27" s="2">
        <v>0</v>
      </c>
      <c r="CJ27" s="2">
        <v>0</v>
      </c>
      <c r="CK27" s="2">
        <v>0</v>
      </c>
      <c r="CL27" s="2">
        <v>0</v>
      </c>
      <c r="CM27" s="2">
        <v>0</v>
      </c>
      <c r="CN27" s="2">
        <v>0</v>
      </c>
      <c r="CP27" s="2"/>
      <c r="CR27" s="125">
        <v>44186</v>
      </c>
      <c r="CS27" s="2">
        <v>11</v>
      </c>
    </row>
    <row r="28" spans="2:97" x14ac:dyDescent="0.35">
      <c r="AC28" s="19" t="s">
        <v>84</v>
      </c>
      <c r="AD28" s="2">
        <v>0</v>
      </c>
      <c r="AE28" s="2">
        <v>11</v>
      </c>
      <c r="AF28" s="2">
        <v>0</v>
      </c>
      <c r="AG28" s="2">
        <v>0</v>
      </c>
      <c r="AH28" s="2">
        <v>0</v>
      </c>
      <c r="AI28" s="2">
        <v>0</v>
      </c>
      <c r="AJ28" s="2">
        <v>0</v>
      </c>
      <c r="AK28" s="2">
        <v>0</v>
      </c>
      <c r="AL28" s="2">
        <v>0</v>
      </c>
      <c r="AM28" s="2">
        <v>0</v>
      </c>
      <c r="AN28" s="2">
        <v>0</v>
      </c>
      <c r="AO28" s="2">
        <v>0</v>
      </c>
      <c r="AP28" s="2">
        <v>0</v>
      </c>
      <c r="AS28" s="125">
        <v>44187</v>
      </c>
      <c r="AT28" s="2">
        <v>39</v>
      </c>
      <c r="BZ28" s="2"/>
      <c r="CA28" s="19" t="s">
        <v>84</v>
      </c>
      <c r="CB28" s="2">
        <v>0</v>
      </c>
      <c r="CC28" s="2">
        <v>0</v>
      </c>
      <c r="CD28" s="2">
        <v>0</v>
      </c>
      <c r="CE28" s="2">
        <v>0</v>
      </c>
      <c r="CF28" s="2">
        <v>0</v>
      </c>
      <c r="CG28" s="2">
        <v>0</v>
      </c>
      <c r="CH28" s="2">
        <v>0</v>
      </c>
      <c r="CI28" s="2">
        <v>0</v>
      </c>
      <c r="CJ28" s="2">
        <v>0</v>
      </c>
      <c r="CK28" s="2">
        <v>0</v>
      </c>
      <c r="CL28" s="2">
        <v>0</v>
      </c>
      <c r="CM28" s="2">
        <v>0</v>
      </c>
      <c r="CN28" s="2">
        <v>0</v>
      </c>
      <c r="CP28" s="2"/>
      <c r="CR28" s="125">
        <v>44187</v>
      </c>
      <c r="CS28" s="2">
        <v>11</v>
      </c>
    </row>
    <row r="29" spans="2:97" x14ac:dyDescent="0.35">
      <c r="AC29" s="19" t="s">
        <v>85</v>
      </c>
      <c r="AD29" s="2">
        <v>0</v>
      </c>
      <c r="AE29" s="2">
        <v>0</v>
      </c>
      <c r="AF29" s="2">
        <v>5</v>
      </c>
      <c r="AG29" s="2">
        <v>0</v>
      </c>
      <c r="AH29" s="2">
        <v>0</v>
      </c>
      <c r="AI29" s="2">
        <v>0</v>
      </c>
      <c r="AJ29" s="2">
        <v>0</v>
      </c>
      <c r="AK29" s="2">
        <v>0</v>
      </c>
      <c r="AL29" s="2">
        <v>0</v>
      </c>
      <c r="AM29" s="2">
        <v>0</v>
      </c>
      <c r="AN29" s="2">
        <v>0</v>
      </c>
      <c r="AO29" s="2">
        <v>0</v>
      </c>
      <c r="AP29" s="2">
        <v>0</v>
      </c>
      <c r="AS29" s="125">
        <v>44188</v>
      </c>
      <c r="AT29" s="2">
        <v>45</v>
      </c>
      <c r="BZ29" s="2"/>
      <c r="CA29" s="19" t="s">
        <v>85</v>
      </c>
      <c r="CB29" s="2">
        <v>0</v>
      </c>
      <c r="CC29" s="2">
        <v>0</v>
      </c>
      <c r="CD29" s="2">
        <v>0</v>
      </c>
      <c r="CE29" s="2">
        <v>0</v>
      </c>
      <c r="CF29" s="2">
        <v>0</v>
      </c>
      <c r="CG29" s="2">
        <v>0</v>
      </c>
      <c r="CH29" s="2">
        <v>0</v>
      </c>
      <c r="CI29" s="2">
        <v>0</v>
      </c>
      <c r="CJ29" s="2">
        <v>0</v>
      </c>
      <c r="CK29" s="2">
        <v>0</v>
      </c>
      <c r="CL29" s="2">
        <v>0</v>
      </c>
      <c r="CM29" s="2">
        <v>0</v>
      </c>
      <c r="CN29" s="2">
        <v>0</v>
      </c>
      <c r="CP29" s="2"/>
      <c r="CR29" s="125">
        <v>44188</v>
      </c>
      <c r="CS29" s="2">
        <v>11</v>
      </c>
    </row>
    <row r="30" spans="2:97" x14ac:dyDescent="0.35">
      <c r="AC30" s="19" t="s">
        <v>86</v>
      </c>
      <c r="AD30" s="2">
        <v>0</v>
      </c>
      <c r="AE30" s="2">
        <v>0</v>
      </c>
      <c r="AF30" s="2">
        <v>0</v>
      </c>
      <c r="AG30" s="2">
        <v>0</v>
      </c>
      <c r="AH30" s="2">
        <v>0</v>
      </c>
      <c r="AI30" s="2">
        <v>0</v>
      </c>
      <c r="AJ30" s="2">
        <v>0</v>
      </c>
      <c r="AK30" s="2">
        <v>0</v>
      </c>
      <c r="AL30" s="2">
        <v>0</v>
      </c>
      <c r="AM30" s="2">
        <v>0</v>
      </c>
      <c r="AN30" s="2">
        <v>0</v>
      </c>
      <c r="AO30" s="2">
        <v>0</v>
      </c>
      <c r="AP30" s="2">
        <v>0</v>
      </c>
      <c r="AS30" s="125">
        <v>44189</v>
      </c>
      <c r="AT30" s="2">
        <v>94</v>
      </c>
      <c r="BZ30" s="2"/>
      <c r="CA30" s="19" t="s">
        <v>86</v>
      </c>
      <c r="CB30" s="2">
        <v>0</v>
      </c>
      <c r="CC30" s="2">
        <v>0</v>
      </c>
      <c r="CD30" s="2">
        <v>0</v>
      </c>
      <c r="CE30" s="2">
        <v>0</v>
      </c>
      <c r="CF30" s="2">
        <v>0</v>
      </c>
      <c r="CG30" s="2">
        <v>0</v>
      </c>
      <c r="CH30" s="2">
        <v>0</v>
      </c>
      <c r="CI30" s="2">
        <v>0</v>
      </c>
      <c r="CJ30" s="2">
        <v>0</v>
      </c>
      <c r="CK30" s="2">
        <v>0</v>
      </c>
      <c r="CL30" s="2">
        <v>0</v>
      </c>
      <c r="CM30" s="2">
        <v>0</v>
      </c>
      <c r="CN30" s="2">
        <v>0</v>
      </c>
      <c r="CP30" s="2"/>
      <c r="CR30" s="125">
        <v>44189</v>
      </c>
      <c r="CS30" s="2">
        <v>62</v>
      </c>
    </row>
    <row r="31" spans="2:97" x14ac:dyDescent="0.35">
      <c r="AC31" s="19" t="s">
        <v>87</v>
      </c>
      <c r="AD31" s="2">
        <v>0</v>
      </c>
      <c r="AE31" s="2">
        <v>0</v>
      </c>
      <c r="AF31" s="2">
        <v>0</v>
      </c>
      <c r="AG31" s="2">
        <v>0</v>
      </c>
      <c r="AH31" s="2">
        <v>0</v>
      </c>
      <c r="AI31" s="2">
        <v>0</v>
      </c>
      <c r="AJ31" s="2">
        <v>0</v>
      </c>
      <c r="AK31" s="2">
        <v>0</v>
      </c>
      <c r="AL31" s="2">
        <v>0</v>
      </c>
      <c r="AM31" s="2">
        <v>0</v>
      </c>
      <c r="AN31" s="2">
        <v>0</v>
      </c>
      <c r="AO31" s="2">
        <v>0</v>
      </c>
      <c r="AP31" s="2">
        <v>0</v>
      </c>
      <c r="AS31" s="125">
        <v>44190</v>
      </c>
      <c r="AT31" s="2">
        <v>26</v>
      </c>
      <c r="BZ31" s="2"/>
      <c r="CA31" s="19" t="s">
        <v>87</v>
      </c>
      <c r="CB31" s="2">
        <v>0</v>
      </c>
      <c r="CC31" s="2">
        <v>0</v>
      </c>
      <c r="CD31" s="2">
        <v>0</v>
      </c>
      <c r="CE31" s="2">
        <v>0</v>
      </c>
      <c r="CF31" s="2">
        <v>0</v>
      </c>
      <c r="CG31" s="2">
        <v>0</v>
      </c>
      <c r="CH31" s="2">
        <v>0</v>
      </c>
      <c r="CI31" s="2">
        <v>0</v>
      </c>
      <c r="CJ31" s="2">
        <v>0</v>
      </c>
      <c r="CK31" s="2">
        <v>0</v>
      </c>
      <c r="CL31" s="2">
        <v>0</v>
      </c>
      <c r="CM31" s="2">
        <v>0</v>
      </c>
      <c r="CN31" s="2">
        <v>0</v>
      </c>
      <c r="CP31" s="2"/>
      <c r="CR31" s="125">
        <v>44190</v>
      </c>
      <c r="CS31" s="2">
        <v>4</v>
      </c>
    </row>
    <row r="32" spans="2:97" x14ac:dyDescent="0.35">
      <c r="AC32" s="19" t="s">
        <v>88</v>
      </c>
      <c r="AD32" s="2">
        <v>0</v>
      </c>
      <c r="AE32" s="2">
        <v>0</v>
      </c>
      <c r="AF32" s="2">
        <v>0</v>
      </c>
      <c r="AG32" s="2">
        <v>0</v>
      </c>
      <c r="AH32" s="2">
        <v>0</v>
      </c>
      <c r="AI32" s="2">
        <v>0</v>
      </c>
      <c r="AJ32" s="2">
        <v>0</v>
      </c>
      <c r="AK32" s="2">
        <v>0</v>
      </c>
      <c r="AL32" s="2">
        <v>0</v>
      </c>
      <c r="AM32" s="2">
        <v>0</v>
      </c>
      <c r="AN32" s="2">
        <v>0</v>
      </c>
      <c r="AO32" s="2">
        <v>0</v>
      </c>
      <c r="AP32" s="2">
        <v>0</v>
      </c>
      <c r="AS32" s="125">
        <v>44191</v>
      </c>
      <c r="AT32" s="2">
        <v>24</v>
      </c>
      <c r="BZ32" s="2"/>
      <c r="CA32" s="19" t="s">
        <v>88</v>
      </c>
      <c r="CB32" s="2">
        <v>0</v>
      </c>
      <c r="CC32" s="2">
        <v>0</v>
      </c>
      <c r="CD32" s="2">
        <v>0</v>
      </c>
      <c r="CE32" s="2">
        <v>0</v>
      </c>
      <c r="CF32" s="2">
        <v>0</v>
      </c>
      <c r="CG32" s="2">
        <v>0</v>
      </c>
      <c r="CH32" s="2">
        <v>0</v>
      </c>
      <c r="CI32" s="2">
        <v>0</v>
      </c>
      <c r="CJ32" s="2">
        <v>0</v>
      </c>
      <c r="CK32" s="2">
        <v>0</v>
      </c>
      <c r="CL32" s="2">
        <v>0</v>
      </c>
      <c r="CM32" s="2">
        <v>0</v>
      </c>
      <c r="CN32" s="2">
        <v>0</v>
      </c>
      <c r="CP32" s="2"/>
      <c r="CR32" s="125">
        <v>44191</v>
      </c>
      <c r="CS32" s="2">
        <v>4</v>
      </c>
    </row>
    <row r="33" spans="29:97" x14ac:dyDescent="0.35">
      <c r="AC33" s="19" t="s">
        <v>89</v>
      </c>
      <c r="AD33" s="2">
        <v>0</v>
      </c>
      <c r="AE33" s="2">
        <v>0</v>
      </c>
      <c r="AF33" s="2">
        <v>0</v>
      </c>
      <c r="AG33" s="2">
        <v>0</v>
      </c>
      <c r="AH33" s="2">
        <v>0</v>
      </c>
      <c r="AI33" s="2">
        <v>0</v>
      </c>
      <c r="AJ33" s="2">
        <v>0</v>
      </c>
      <c r="AK33" s="2">
        <v>0</v>
      </c>
      <c r="AL33" s="2">
        <v>0</v>
      </c>
      <c r="AM33" s="2">
        <v>0</v>
      </c>
      <c r="AN33" s="2">
        <v>0</v>
      </c>
      <c r="AO33" s="2">
        <v>0</v>
      </c>
      <c r="AP33" s="2">
        <v>0</v>
      </c>
      <c r="AS33" s="125">
        <v>44192</v>
      </c>
      <c r="AT33" s="2">
        <v>62</v>
      </c>
      <c r="BZ33" s="2"/>
      <c r="CA33" s="19" t="s">
        <v>89</v>
      </c>
      <c r="CB33" s="2">
        <v>0</v>
      </c>
      <c r="CC33" s="2">
        <v>0</v>
      </c>
      <c r="CD33" s="2">
        <v>0</v>
      </c>
      <c r="CE33" s="2">
        <v>0</v>
      </c>
      <c r="CF33" s="2">
        <v>0</v>
      </c>
      <c r="CG33" s="2">
        <v>0</v>
      </c>
      <c r="CH33" s="2">
        <v>0</v>
      </c>
      <c r="CI33" s="2">
        <v>0</v>
      </c>
      <c r="CJ33" s="2">
        <v>0</v>
      </c>
      <c r="CK33" s="2">
        <v>0</v>
      </c>
      <c r="CL33" s="2">
        <v>0</v>
      </c>
      <c r="CM33" s="2">
        <v>0</v>
      </c>
      <c r="CN33" s="2">
        <v>0</v>
      </c>
      <c r="CP33" s="2"/>
      <c r="CR33" s="125">
        <v>44192</v>
      </c>
      <c r="CS33" s="2">
        <v>14</v>
      </c>
    </row>
    <row r="34" spans="29:97" x14ac:dyDescent="0.35">
      <c r="AC34" s="19" t="s">
        <v>259</v>
      </c>
      <c r="AD34" s="2">
        <v>0</v>
      </c>
      <c r="AE34" s="2">
        <v>0</v>
      </c>
      <c r="AF34" s="2">
        <v>0</v>
      </c>
      <c r="AG34" s="2">
        <v>0</v>
      </c>
      <c r="AH34" s="2">
        <v>0</v>
      </c>
      <c r="AI34" s="2">
        <v>0</v>
      </c>
      <c r="AJ34" s="2">
        <v>0</v>
      </c>
      <c r="AK34" s="2">
        <v>0</v>
      </c>
      <c r="AL34" s="2">
        <v>0</v>
      </c>
      <c r="AM34" s="2">
        <v>0</v>
      </c>
      <c r="AN34" s="2">
        <v>0</v>
      </c>
      <c r="AO34" s="2">
        <v>0</v>
      </c>
      <c r="AP34" s="2">
        <v>0</v>
      </c>
      <c r="AS34" s="125">
        <v>44193</v>
      </c>
      <c r="AT34" s="2">
        <v>60</v>
      </c>
      <c r="BZ34" s="2"/>
      <c r="CA34" s="19" t="s">
        <v>259</v>
      </c>
      <c r="CB34" s="2">
        <v>0</v>
      </c>
      <c r="CC34" s="2">
        <v>0</v>
      </c>
      <c r="CD34" s="2">
        <v>0</v>
      </c>
      <c r="CE34" s="2">
        <v>0</v>
      </c>
      <c r="CF34" s="2">
        <v>0</v>
      </c>
      <c r="CG34" s="2">
        <v>0</v>
      </c>
      <c r="CH34" s="2">
        <v>0</v>
      </c>
      <c r="CI34" s="2">
        <v>0</v>
      </c>
      <c r="CJ34" s="2">
        <v>0</v>
      </c>
      <c r="CK34" s="2">
        <v>0</v>
      </c>
      <c r="CL34" s="2">
        <v>0</v>
      </c>
      <c r="CM34" s="2">
        <v>0</v>
      </c>
      <c r="CN34" s="2">
        <v>0</v>
      </c>
      <c r="CP34" s="2"/>
      <c r="CR34" s="125">
        <v>44193</v>
      </c>
      <c r="CS34" s="2">
        <v>11</v>
      </c>
    </row>
    <row r="35" spans="29:97" x14ac:dyDescent="0.35">
      <c r="AC35" s="19" t="s">
        <v>90</v>
      </c>
      <c r="AD35" s="2">
        <v>0</v>
      </c>
      <c r="AE35" s="2">
        <v>0</v>
      </c>
      <c r="AF35" s="2">
        <v>31</v>
      </c>
      <c r="AG35" s="2">
        <v>45</v>
      </c>
      <c r="AH35" s="2">
        <v>50</v>
      </c>
      <c r="AI35" s="2">
        <v>0</v>
      </c>
      <c r="AJ35" s="2">
        <v>0</v>
      </c>
      <c r="AK35" s="2">
        <v>0</v>
      </c>
      <c r="AL35" s="2">
        <v>0</v>
      </c>
      <c r="AM35" s="2">
        <v>56</v>
      </c>
      <c r="AN35" s="2">
        <v>0</v>
      </c>
      <c r="AO35" s="2">
        <v>0</v>
      </c>
      <c r="AP35" s="2">
        <v>0</v>
      </c>
      <c r="AS35" s="125">
        <v>44194</v>
      </c>
      <c r="AT35" s="2">
        <v>23</v>
      </c>
      <c r="BZ35" s="2"/>
      <c r="CA35" s="19" t="s">
        <v>90</v>
      </c>
      <c r="CB35" s="2">
        <v>0</v>
      </c>
      <c r="CC35" s="2">
        <v>48</v>
      </c>
      <c r="CD35" s="2">
        <v>0</v>
      </c>
      <c r="CE35" s="2">
        <v>0</v>
      </c>
      <c r="CF35" s="2">
        <v>0</v>
      </c>
      <c r="CG35" s="2">
        <v>0</v>
      </c>
      <c r="CH35" s="2">
        <v>4</v>
      </c>
      <c r="CI35" s="2">
        <v>9</v>
      </c>
      <c r="CJ35" s="2">
        <v>9</v>
      </c>
      <c r="CK35" s="2">
        <v>0</v>
      </c>
      <c r="CL35" s="2">
        <v>0</v>
      </c>
      <c r="CM35" s="2">
        <v>0</v>
      </c>
      <c r="CN35" s="2">
        <v>0</v>
      </c>
      <c r="CP35" s="2"/>
      <c r="CR35" s="125">
        <v>44194</v>
      </c>
      <c r="CS35" s="2">
        <v>4</v>
      </c>
    </row>
    <row r="36" spans="29:97" x14ac:dyDescent="0.35">
      <c r="AC36" s="19" t="s">
        <v>91</v>
      </c>
      <c r="AD36" s="2">
        <v>0</v>
      </c>
      <c r="AE36" s="2">
        <v>0</v>
      </c>
      <c r="AF36" s="2">
        <v>0</v>
      </c>
      <c r="AG36" s="2">
        <v>0</v>
      </c>
      <c r="AH36" s="2">
        <v>0</v>
      </c>
      <c r="AI36" s="2">
        <v>0</v>
      </c>
      <c r="AJ36" s="2">
        <v>0</v>
      </c>
      <c r="AK36" s="2">
        <v>0</v>
      </c>
      <c r="AL36" s="2">
        <v>0</v>
      </c>
      <c r="AM36" s="2">
        <v>0</v>
      </c>
      <c r="AN36" s="2">
        <v>0</v>
      </c>
      <c r="AO36" s="2">
        <v>0</v>
      </c>
      <c r="AP36" s="2">
        <v>0</v>
      </c>
      <c r="AS36" s="125">
        <v>44195</v>
      </c>
      <c r="AT36" s="2">
        <v>51</v>
      </c>
      <c r="BZ36" s="2"/>
      <c r="CA36" s="19" t="s">
        <v>91</v>
      </c>
      <c r="CB36" s="2">
        <v>0</v>
      </c>
      <c r="CC36" s="2">
        <v>0</v>
      </c>
      <c r="CD36" s="2">
        <v>0</v>
      </c>
      <c r="CE36" s="2">
        <v>0</v>
      </c>
      <c r="CF36" s="2">
        <v>0</v>
      </c>
      <c r="CG36" s="2">
        <v>0</v>
      </c>
      <c r="CH36" s="2">
        <v>0</v>
      </c>
      <c r="CI36" s="2">
        <v>0</v>
      </c>
      <c r="CJ36" s="2">
        <v>0</v>
      </c>
      <c r="CK36" s="2">
        <v>0</v>
      </c>
      <c r="CL36" s="2">
        <v>0</v>
      </c>
      <c r="CM36" s="2">
        <v>0</v>
      </c>
      <c r="CN36" s="2">
        <v>0</v>
      </c>
      <c r="CP36" s="2"/>
      <c r="CR36" s="125">
        <v>44195</v>
      </c>
      <c r="CS36" s="2">
        <v>17</v>
      </c>
    </row>
    <row r="37" spans="29:97" x14ac:dyDescent="0.35">
      <c r="AC37" s="19" t="s">
        <v>92</v>
      </c>
      <c r="AD37" s="2">
        <v>0</v>
      </c>
      <c r="AE37" s="2">
        <v>0</v>
      </c>
      <c r="AF37" s="2">
        <v>0</v>
      </c>
      <c r="AG37" s="2">
        <v>0</v>
      </c>
      <c r="AH37" s="2">
        <v>0</v>
      </c>
      <c r="AI37" s="2">
        <v>0</v>
      </c>
      <c r="AJ37" s="2">
        <v>0</v>
      </c>
      <c r="AK37" s="2">
        <v>0</v>
      </c>
      <c r="AL37" s="2">
        <v>0</v>
      </c>
      <c r="AM37" s="2">
        <v>0</v>
      </c>
      <c r="AN37" s="2">
        <v>0</v>
      </c>
      <c r="AO37" s="2">
        <v>0</v>
      </c>
      <c r="AP37" s="2">
        <v>0</v>
      </c>
      <c r="AS37" s="125">
        <v>44196</v>
      </c>
      <c r="AT37" s="2">
        <v>64</v>
      </c>
      <c r="BZ37" s="2"/>
      <c r="CA37" s="19" t="s">
        <v>92</v>
      </c>
      <c r="CB37" s="2">
        <v>0</v>
      </c>
      <c r="CC37" s="2">
        <v>0</v>
      </c>
      <c r="CD37" s="2">
        <v>0</v>
      </c>
      <c r="CE37" s="2">
        <v>0</v>
      </c>
      <c r="CF37" s="2">
        <v>0</v>
      </c>
      <c r="CG37" s="2">
        <v>0</v>
      </c>
      <c r="CH37" s="2">
        <v>0</v>
      </c>
      <c r="CI37" s="2">
        <v>0</v>
      </c>
      <c r="CJ37" s="2">
        <v>0</v>
      </c>
      <c r="CK37" s="2">
        <v>0</v>
      </c>
      <c r="CL37" s="2">
        <v>0</v>
      </c>
      <c r="CM37" s="2">
        <v>0</v>
      </c>
      <c r="CN37" s="2">
        <v>0</v>
      </c>
      <c r="CP37" s="2"/>
      <c r="CR37" s="125">
        <v>44196</v>
      </c>
      <c r="CS37" s="2">
        <v>11</v>
      </c>
    </row>
    <row r="38" spans="29:97" x14ac:dyDescent="0.35">
      <c r="AC38" s="19" t="s">
        <v>93</v>
      </c>
      <c r="AD38" s="2">
        <v>0</v>
      </c>
      <c r="AE38" s="2">
        <v>0</v>
      </c>
      <c r="AF38" s="2">
        <v>0</v>
      </c>
      <c r="AG38" s="2">
        <v>0</v>
      </c>
      <c r="AH38" s="2">
        <v>0</v>
      </c>
      <c r="AI38" s="2">
        <v>0</v>
      </c>
      <c r="AJ38" s="2">
        <v>0</v>
      </c>
      <c r="AK38" s="2">
        <v>0</v>
      </c>
      <c r="AL38" s="2">
        <v>0</v>
      </c>
      <c r="AM38" s="2">
        <v>0</v>
      </c>
      <c r="AN38" s="2">
        <v>0</v>
      </c>
      <c r="AO38" s="2">
        <v>0</v>
      </c>
      <c r="AP38" s="2">
        <v>0</v>
      </c>
      <c r="AS38" s="125">
        <v>44197</v>
      </c>
      <c r="AT38" s="2">
        <v>53</v>
      </c>
      <c r="BZ38" s="2"/>
      <c r="CA38" s="19" t="s">
        <v>93</v>
      </c>
      <c r="CB38" s="2">
        <v>0</v>
      </c>
      <c r="CC38" s="2">
        <v>0</v>
      </c>
      <c r="CD38" s="2">
        <v>0</v>
      </c>
      <c r="CE38" s="2">
        <v>0</v>
      </c>
      <c r="CF38" s="2">
        <v>0</v>
      </c>
      <c r="CG38" s="2">
        <v>0</v>
      </c>
      <c r="CH38" s="2">
        <v>0</v>
      </c>
      <c r="CI38" s="2">
        <v>0</v>
      </c>
      <c r="CJ38" s="2">
        <v>0</v>
      </c>
      <c r="CK38" s="2">
        <v>0</v>
      </c>
      <c r="CL38" s="2">
        <v>0</v>
      </c>
      <c r="CM38" s="2">
        <v>0</v>
      </c>
      <c r="CN38" s="2">
        <v>0</v>
      </c>
      <c r="CP38" s="2"/>
      <c r="CR38" s="125">
        <v>44197</v>
      </c>
      <c r="CS38" s="2">
        <v>12</v>
      </c>
    </row>
    <row r="39" spans="29:97" x14ac:dyDescent="0.35">
      <c r="AC39" s="19" t="s">
        <v>94</v>
      </c>
      <c r="AD39" s="2">
        <v>0</v>
      </c>
      <c r="AE39" s="2">
        <v>0</v>
      </c>
      <c r="AF39" s="2">
        <v>0</v>
      </c>
      <c r="AG39" s="2">
        <v>0</v>
      </c>
      <c r="AH39" s="2">
        <v>0</v>
      </c>
      <c r="AI39" s="2">
        <v>0</v>
      </c>
      <c r="AJ39" s="2">
        <v>0</v>
      </c>
      <c r="AK39" s="2">
        <v>0</v>
      </c>
      <c r="AL39" s="2">
        <v>0</v>
      </c>
      <c r="AM39" s="2">
        <v>0</v>
      </c>
      <c r="AN39" s="2">
        <v>0</v>
      </c>
      <c r="AO39" s="2">
        <v>0</v>
      </c>
      <c r="AP39" s="2">
        <v>0</v>
      </c>
      <c r="AS39" s="125">
        <v>44198</v>
      </c>
      <c r="AT39" s="2">
        <v>54</v>
      </c>
      <c r="BZ39" s="2"/>
      <c r="CA39" s="19" t="s">
        <v>94</v>
      </c>
      <c r="CB39" s="2">
        <v>0</v>
      </c>
      <c r="CC39" s="2">
        <v>0</v>
      </c>
      <c r="CD39" s="2">
        <v>0</v>
      </c>
      <c r="CE39" s="2">
        <v>0</v>
      </c>
      <c r="CF39" s="2">
        <v>0</v>
      </c>
      <c r="CG39" s="2">
        <v>0</v>
      </c>
      <c r="CH39" s="2">
        <v>0</v>
      </c>
      <c r="CI39" s="2">
        <v>0</v>
      </c>
      <c r="CJ39" s="2">
        <v>0</v>
      </c>
      <c r="CK39" s="2">
        <v>0</v>
      </c>
      <c r="CL39" s="2">
        <v>0</v>
      </c>
      <c r="CM39" s="2">
        <v>0</v>
      </c>
      <c r="CN39" s="2">
        <v>0</v>
      </c>
      <c r="CP39" s="2"/>
      <c r="CR39" s="125">
        <v>44198</v>
      </c>
      <c r="CS39" s="2">
        <v>14</v>
      </c>
    </row>
    <row r="40" spans="29:97" x14ac:dyDescent="0.35">
      <c r="AC40" s="19" t="s">
        <v>95</v>
      </c>
      <c r="AD40" s="2">
        <v>0</v>
      </c>
      <c r="AE40" s="2">
        <v>0</v>
      </c>
      <c r="AF40" s="2">
        <v>0</v>
      </c>
      <c r="AG40" s="2">
        <v>0</v>
      </c>
      <c r="AH40" s="2">
        <v>0</v>
      </c>
      <c r="AI40" s="2">
        <v>0</v>
      </c>
      <c r="AJ40" s="2">
        <v>0</v>
      </c>
      <c r="AK40" s="2">
        <v>0</v>
      </c>
      <c r="AL40" s="2">
        <v>0</v>
      </c>
      <c r="AM40" s="2">
        <v>0</v>
      </c>
      <c r="AN40" s="2">
        <v>0</v>
      </c>
      <c r="AO40" s="2">
        <v>0</v>
      </c>
      <c r="AP40" s="2">
        <v>0</v>
      </c>
      <c r="AS40" s="125">
        <v>44199</v>
      </c>
      <c r="AT40" s="2">
        <v>43</v>
      </c>
      <c r="BZ40" s="2"/>
      <c r="CA40" s="19" t="s">
        <v>95</v>
      </c>
      <c r="CB40" s="2">
        <v>0</v>
      </c>
      <c r="CC40" s="2">
        <v>0</v>
      </c>
      <c r="CD40" s="2">
        <v>0</v>
      </c>
      <c r="CE40" s="2">
        <v>0</v>
      </c>
      <c r="CF40" s="2">
        <v>0</v>
      </c>
      <c r="CG40" s="2">
        <v>0</v>
      </c>
      <c r="CH40" s="2">
        <v>0</v>
      </c>
      <c r="CI40" s="2">
        <v>0</v>
      </c>
      <c r="CJ40" s="2">
        <v>0</v>
      </c>
      <c r="CK40" s="2">
        <v>0</v>
      </c>
      <c r="CL40" s="2">
        <v>0</v>
      </c>
      <c r="CM40" s="2">
        <v>0</v>
      </c>
      <c r="CN40" s="2">
        <v>0</v>
      </c>
      <c r="CP40" s="2"/>
      <c r="CR40" s="125">
        <v>44199</v>
      </c>
      <c r="CS40" s="2">
        <v>9</v>
      </c>
    </row>
    <row r="41" spans="29:97" x14ac:dyDescent="0.35">
      <c r="AC41" s="19" t="s">
        <v>96</v>
      </c>
      <c r="AD41" s="2">
        <v>0</v>
      </c>
      <c r="AE41" s="2">
        <v>0</v>
      </c>
      <c r="AF41" s="2">
        <v>0</v>
      </c>
      <c r="AG41" s="2">
        <v>0</v>
      </c>
      <c r="AH41" s="2">
        <v>32</v>
      </c>
      <c r="AI41" s="2">
        <v>16</v>
      </c>
      <c r="AJ41" s="2">
        <v>0</v>
      </c>
      <c r="AK41" s="2">
        <v>0</v>
      </c>
      <c r="AL41" s="2">
        <v>0</v>
      </c>
      <c r="AM41" s="2">
        <v>4</v>
      </c>
      <c r="AN41" s="2">
        <v>29</v>
      </c>
      <c r="AO41" s="2">
        <v>8</v>
      </c>
      <c r="AP41" s="2">
        <v>0</v>
      </c>
      <c r="AS41" s="125">
        <v>44200</v>
      </c>
      <c r="AT41" s="2">
        <v>41</v>
      </c>
      <c r="BZ41" s="2"/>
      <c r="CA41" s="19" t="s">
        <v>96</v>
      </c>
      <c r="CB41" s="2">
        <v>0</v>
      </c>
      <c r="CC41" s="2">
        <v>0</v>
      </c>
      <c r="CD41" s="2">
        <v>9</v>
      </c>
      <c r="CE41" s="2">
        <v>3</v>
      </c>
      <c r="CF41" s="2">
        <v>0</v>
      </c>
      <c r="CG41" s="2">
        <v>0</v>
      </c>
      <c r="CH41" s="2">
        <v>0</v>
      </c>
      <c r="CI41" s="2">
        <v>0</v>
      </c>
      <c r="CJ41" s="2">
        <v>2</v>
      </c>
      <c r="CK41" s="2">
        <v>1</v>
      </c>
      <c r="CL41" s="2">
        <v>0</v>
      </c>
      <c r="CM41" s="2">
        <v>0</v>
      </c>
      <c r="CN41" s="2">
        <v>0</v>
      </c>
      <c r="CP41" s="2"/>
      <c r="CR41" s="125">
        <v>44200</v>
      </c>
      <c r="CS41" s="2">
        <v>9</v>
      </c>
    </row>
    <row r="42" spans="29:97" x14ac:dyDescent="0.35">
      <c r="AC42" s="19" t="s">
        <v>97</v>
      </c>
      <c r="AD42" s="2">
        <v>48</v>
      </c>
      <c r="AE42" s="2">
        <v>4</v>
      </c>
      <c r="AF42" s="2">
        <v>0</v>
      </c>
      <c r="AG42" s="2">
        <v>24</v>
      </c>
      <c r="AH42" s="2">
        <v>0</v>
      </c>
      <c r="AI42" s="2">
        <v>0</v>
      </c>
      <c r="AJ42" s="2">
        <v>0</v>
      </c>
      <c r="AK42" s="2">
        <v>0</v>
      </c>
      <c r="AL42" s="2">
        <v>0</v>
      </c>
      <c r="AM42" s="2">
        <v>0</v>
      </c>
      <c r="AN42" s="2">
        <v>0</v>
      </c>
      <c r="AO42" s="2">
        <v>0</v>
      </c>
      <c r="AP42" s="2">
        <v>0</v>
      </c>
      <c r="AS42" s="125">
        <v>44201</v>
      </c>
      <c r="AT42" s="2">
        <v>37</v>
      </c>
      <c r="BZ42" s="2"/>
      <c r="CA42" s="19" t="s">
        <v>97</v>
      </c>
      <c r="CB42" s="2">
        <v>24</v>
      </c>
      <c r="CC42" s="2">
        <v>0</v>
      </c>
      <c r="CD42" s="2">
        <v>0</v>
      </c>
      <c r="CE42" s="2">
        <v>0</v>
      </c>
      <c r="CF42" s="2">
        <v>0</v>
      </c>
      <c r="CG42" s="2">
        <v>2</v>
      </c>
      <c r="CH42" s="2">
        <v>0</v>
      </c>
      <c r="CI42" s="2">
        <v>6</v>
      </c>
      <c r="CJ42" s="2">
        <v>0</v>
      </c>
      <c r="CK42" s="2">
        <v>0</v>
      </c>
      <c r="CL42" s="2">
        <v>0</v>
      </c>
      <c r="CM42" s="2">
        <v>0</v>
      </c>
      <c r="CN42" s="2">
        <v>0</v>
      </c>
      <c r="CP42" s="2"/>
      <c r="CR42" s="125">
        <v>44201</v>
      </c>
      <c r="CS42" s="2">
        <v>10</v>
      </c>
    </row>
    <row r="43" spans="29:97" x14ac:dyDescent="0.35">
      <c r="AC43" s="19" t="s">
        <v>98</v>
      </c>
      <c r="AD43" s="2">
        <v>24</v>
      </c>
      <c r="AE43" s="2">
        <v>2</v>
      </c>
      <c r="AF43" s="2">
        <v>6</v>
      </c>
      <c r="AG43" s="2">
        <v>2</v>
      </c>
      <c r="AH43" s="2">
        <v>2</v>
      </c>
      <c r="AI43" s="2">
        <v>2</v>
      </c>
      <c r="AJ43" s="2">
        <v>7</v>
      </c>
      <c r="AK43" s="2">
        <v>0</v>
      </c>
      <c r="AL43" s="2">
        <v>12</v>
      </c>
      <c r="AM43" s="2">
        <v>2</v>
      </c>
      <c r="AN43" s="2">
        <v>4</v>
      </c>
      <c r="AO43" s="2">
        <v>12</v>
      </c>
      <c r="AP43" s="2">
        <v>6</v>
      </c>
      <c r="AS43" s="125">
        <v>44202</v>
      </c>
      <c r="AT43" s="2">
        <v>20</v>
      </c>
      <c r="BZ43" s="2"/>
      <c r="CA43" s="19" t="s">
        <v>98</v>
      </c>
      <c r="CB43" s="2">
        <v>7</v>
      </c>
      <c r="CC43" s="2">
        <v>1</v>
      </c>
      <c r="CD43" s="2">
        <v>0</v>
      </c>
      <c r="CE43" s="2">
        <v>6</v>
      </c>
      <c r="CF43" s="2">
        <v>3</v>
      </c>
      <c r="CG43" s="2">
        <v>2</v>
      </c>
      <c r="CH43" s="2">
        <v>2</v>
      </c>
      <c r="CI43" s="2">
        <v>0</v>
      </c>
      <c r="CJ43" s="2">
        <v>2</v>
      </c>
      <c r="CK43" s="2">
        <v>2</v>
      </c>
      <c r="CL43" s="2">
        <v>0</v>
      </c>
      <c r="CM43" s="2">
        <v>0</v>
      </c>
      <c r="CN43" s="2">
        <v>2</v>
      </c>
      <c r="CP43" s="2"/>
      <c r="CR43" s="125">
        <v>44202</v>
      </c>
      <c r="CS43" s="2">
        <v>5</v>
      </c>
    </row>
    <row r="44" spans="29:97" x14ac:dyDescent="0.35">
      <c r="AC44" s="19" t="s">
        <v>99</v>
      </c>
      <c r="AD44" s="2">
        <v>7</v>
      </c>
      <c r="AE44" s="2">
        <v>25</v>
      </c>
      <c r="AF44" s="2">
        <v>7</v>
      </c>
      <c r="AG44" s="2">
        <v>1</v>
      </c>
      <c r="AH44" s="2">
        <v>0</v>
      </c>
      <c r="AI44" s="2">
        <v>1</v>
      </c>
      <c r="AJ44" s="2">
        <v>0</v>
      </c>
      <c r="AK44" s="2">
        <v>1</v>
      </c>
      <c r="AL44" s="2">
        <v>1</v>
      </c>
      <c r="AM44" s="2">
        <v>0</v>
      </c>
      <c r="AN44" s="2">
        <v>4</v>
      </c>
      <c r="AO44" s="2">
        <v>1</v>
      </c>
      <c r="AP44" s="2">
        <v>1</v>
      </c>
      <c r="AS44" s="125">
        <v>44203</v>
      </c>
      <c r="AT44" s="2">
        <v>27</v>
      </c>
      <c r="BZ44" s="2"/>
      <c r="CA44" s="19" t="s">
        <v>99</v>
      </c>
      <c r="CB44" s="2">
        <v>1</v>
      </c>
      <c r="CC44" s="2">
        <v>0</v>
      </c>
      <c r="CD44" s="2">
        <v>4</v>
      </c>
      <c r="CE44" s="2">
        <v>1</v>
      </c>
      <c r="CF44" s="2">
        <v>1</v>
      </c>
      <c r="CG44" s="2">
        <v>17</v>
      </c>
      <c r="CH44" s="2">
        <v>2</v>
      </c>
      <c r="CI44" s="2">
        <v>1</v>
      </c>
      <c r="CJ44" s="2">
        <v>0</v>
      </c>
      <c r="CK44" s="2">
        <v>1</v>
      </c>
      <c r="CL44" s="2">
        <v>0</v>
      </c>
      <c r="CM44" s="2">
        <v>1</v>
      </c>
      <c r="CN44" s="2">
        <v>1</v>
      </c>
      <c r="CP44" s="2"/>
      <c r="CR44" s="125">
        <v>44203</v>
      </c>
      <c r="CS44" s="2">
        <v>7</v>
      </c>
    </row>
    <row r="45" spans="29:97" x14ac:dyDescent="0.35">
      <c r="AC45" s="19" t="s">
        <v>100</v>
      </c>
      <c r="AD45" s="2">
        <v>0</v>
      </c>
      <c r="AE45" s="2">
        <v>0</v>
      </c>
      <c r="AF45" s="2">
        <v>0</v>
      </c>
      <c r="AG45" s="2">
        <v>0</v>
      </c>
      <c r="AH45" s="2">
        <v>0</v>
      </c>
      <c r="AI45" s="2">
        <v>0</v>
      </c>
      <c r="AJ45" s="2">
        <v>0</v>
      </c>
      <c r="AK45" s="2">
        <v>0</v>
      </c>
      <c r="AL45" s="2">
        <v>0</v>
      </c>
      <c r="AM45" s="2">
        <v>0</v>
      </c>
      <c r="AN45" s="2">
        <v>0</v>
      </c>
      <c r="AO45" s="2">
        <v>0</v>
      </c>
      <c r="AP45" s="2">
        <v>0</v>
      </c>
      <c r="AS45" s="125">
        <v>44204</v>
      </c>
      <c r="AT45" s="2">
        <v>31</v>
      </c>
      <c r="BZ45" s="2"/>
      <c r="CA45" s="19" t="s">
        <v>100</v>
      </c>
      <c r="CB45" s="2">
        <v>0</v>
      </c>
      <c r="CC45" s="2">
        <v>0</v>
      </c>
      <c r="CD45" s="2">
        <v>0</v>
      </c>
      <c r="CE45" s="2">
        <v>0</v>
      </c>
      <c r="CF45" s="2">
        <v>0</v>
      </c>
      <c r="CG45" s="2">
        <v>0</v>
      </c>
      <c r="CH45" s="2">
        <v>0</v>
      </c>
      <c r="CI45" s="2">
        <v>0</v>
      </c>
      <c r="CJ45" s="2">
        <v>0</v>
      </c>
      <c r="CK45" s="2">
        <v>0</v>
      </c>
      <c r="CL45" s="2">
        <v>0</v>
      </c>
      <c r="CM45" s="2">
        <v>0</v>
      </c>
      <c r="CN45" s="2">
        <v>0</v>
      </c>
      <c r="CP45" s="2"/>
      <c r="CR45" s="125">
        <v>44204</v>
      </c>
      <c r="CS45" s="2">
        <v>6</v>
      </c>
    </row>
    <row r="46" spans="29:97" x14ac:dyDescent="0.35">
      <c r="AC46" s="19" t="s">
        <v>260</v>
      </c>
      <c r="AD46" s="2">
        <v>0</v>
      </c>
      <c r="AE46" s="2">
        <v>52</v>
      </c>
      <c r="AF46" s="2">
        <v>88</v>
      </c>
      <c r="AG46" s="2">
        <v>9</v>
      </c>
      <c r="AH46" s="2">
        <v>0</v>
      </c>
      <c r="AI46" s="2">
        <v>0</v>
      </c>
      <c r="AJ46" s="2">
        <v>0</v>
      </c>
      <c r="AK46" s="2">
        <v>0</v>
      </c>
      <c r="AL46" s="2">
        <v>0</v>
      </c>
      <c r="AM46" s="2">
        <v>0</v>
      </c>
      <c r="AN46" s="2">
        <v>0</v>
      </c>
      <c r="AO46" s="2">
        <v>21</v>
      </c>
      <c r="AP46" s="2">
        <v>0</v>
      </c>
      <c r="AS46" s="125">
        <v>44205</v>
      </c>
      <c r="AT46" s="2">
        <v>22</v>
      </c>
      <c r="BZ46" s="2"/>
      <c r="CA46" s="19" t="s">
        <v>260</v>
      </c>
      <c r="CB46" s="2">
        <v>0</v>
      </c>
      <c r="CC46" s="2">
        <v>0</v>
      </c>
      <c r="CD46" s="2">
        <v>0</v>
      </c>
      <c r="CE46" s="2">
        <v>6</v>
      </c>
      <c r="CF46" s="2">
        <v>0</v>
      </c>
      <c r="CG46" s="2">
        <v>11</v>
      </c>
      <c r="CH46" s="2">
        <v>33</v>
      </c>
      <c r="CI46" s="2">
        <v>4</v>
      </c>
      <c r="CJ46" s="2">
        <v>0</v>
      </c>
      <c r="CK46" s="2">
        <v>0</v>
      </c>
      <c r="CL46" s="2">
        <v>0</v>
      </c>
      <c r="CM46" s="2">
        <v>0</v>
      </c>
      <c r="CN46" s="2">
        <v>0</v>
      </c>
      <c r="CP46" s="2"/>
      <c r="CR46" s="125">
        <v>44205</v>
      </c>
      <c r="CS46" s="2">
        <v>5</v>
      </c>
    </row>
    <row r="47" spans="29:97" x14ac:dyDescent="0.35">
      <c r="AC47" s="19" t="s">
        <v>101</v>
      </c>
      <c r="AD47" s="2">
        <v>0</v>
      </c>
      <c r="AE47" s="2">
        <v>0</v>
      </c>
      <c r="AF47" s="2">
        <v>0</v>
      </c>
      <c r="AG47" s="2">
        <v>0</v>
      </c>
      <c r="AH47" s="2">
        <v>0</v>
      </c>
      <c r="AI47" s="2">
        <v>0</v>
      </c>
      <c r="AJ47" s="2">
        <v>0</v>
      </c>
      <c r="AK47" s="2">
        <v>0</v>
      </c>
      <c r="AL47" s="2">
        <v>0</v>
      </c>
      <c r="AM47" s="2">
        <v>0</v>
      </c>
      <c r="AN47" s="2">
        <v>0</v>
      </c>
      <c r="AO47" s="2">
        <v>0</v>
      </c>
      <c r="AP47" s="2">
        <v>0</v>
      </c>
      <c r="AS47" s="125">
        <v>44206</v>
      </c>
      <c r="AT47" s="2">
        <v>357</v>
      </c>
      <c r="BZ47" s="2"/>
      <c r="CA47" s="19" t="s">
        <v>101</v>
      </c>
      <c r="CB47" s="2">
        <v>0</v>
      </c>
      <c r="CC47" s="2">
        <v>0</v>
      </c>
      <c r="CD47" s="2">
        <v>0</v>
      </c>
      <c r="CE47" s="2">
        <v>0</v>
      </c>
      <c r="CF47" s="2">
        <v>0</v>
      </c>
      <c r="CG47" s="2">
        <v>0</v>
      </c>
      <c r="CH47" s="2">
        <v>0</v>
      </c>
      <c r="CI47" s="2">
        <v>0</v>
      </c>
      <c r="CJ47" s="2">
        <v>0</v>
      </c>
      <c r="CK47" s="2">
        <v>0</v>
      </c>
      <c r="CL47" s="2">
        <v>0</v>
      </c>
      <c r="CM47" s="2">
        <v>0</v>
      </c>
      <c r="CN47" s="2">
        <v>0</v>
      </c>
      <c r="CP47" s="2"/>
      <c r="CR47" s="125">
        <v>44206</v>
      </c>
      <c r="CS47" s="2">
        <v>8</v>
      </c>
    </row>
    <row r="48" spans="29:97" x14ac:dyDescent="0.35">
      <c r="AC48" s="19" t="s">
        <v>102</v>
      </c>
      <c r="AD48" s="2">
        <v>0</v>
      </c>
      <c r="AE48" s="2">
        <v>0</v>
      </c>
      <c r="AF48" s="2">
        <v>0</v>
      </c>
      <c r="AG48" s="2">
        <v>0</v>
      </c>
      <c r="AH48" s="2">
        <v>0</v>
      </c>
      <c r="AI48" s="2">
        <v>0</v>
      </c>
      <c r="AJ48" s="2">
        <v>0</v>
      </c>
      <c r="AK48" s="2">
        <v>0</v>
      </c>
      <c r="AL48" s="2">
        <v>0</v>
      </c>
      <c r="AM48" s="2">
        <v>0</v>
      </c>
      <c r="AN48" s="2">
        <v>0</v>
      </c>
      <c r="AO48" s="2">
        <v>0</v>
      </c>
      <c r="AP48" s="2">
        <v>0</v>
      </c>
      <c r="AS48" s="125">
        <v>44207</v>
      </c>
      <c r="AT48" s="2">
        <v>17</v>
      </c>
      <c r="BZ48" s="2"/>
      <c r="CA48" s="19" t="s">
        <v>102</v>
      </c>
      <c r="CB48" s="2">
        <v>0</v>
      </c>
      <c r="CC48" s="2">
        <v>0</v>
      </c>
      <c r="CD48" s="2">
        <v>0</v>
      </c>
      <c r="CE48" s="2">
        <v>0</v>
      </c>
      <c r="CF48" s="2">
        <v>0</v>
      </c>
      <c r="CG48" s="2">
        <v>0</v>
      </c>
      <c r="CH48" s="2">
        <v>0</v>
      </c>
      <c r="CI48" s="2">
        <v>0</v>
      </c>
      <c r="CJ48" s="2">
        <v>0</v>
      </c>
      <c r="CK48" s="2">
        <v>0</v>
      </c>
      <c r="CL48" s="2">
        <v>0</v>
      </c>
      <c r="CM48" s="2">
        <v>0</v>
      </c>
      <c r="CN48" s="2">
        <v>0</v>
      </c>
      <c r="CP48" s="2"/>
      <c r="CR48" s="125">
        <v>44207</v>
      </c>
      <c r="CS48" s="2">
        <v>6</v>
      </c>
    </row>
    <row r="49" spans="29:97" x14ac:dyDescent="0.35">
      <c r="AC49" s="19" t="s">
        <v>103</v>
      </c>
      <c r="AD49" s="2">
        <v>0</v>
      </c>
      <c r="AE49" s="2">
        <v>0</v>
      </c>
      <c r="AF49" s="2">
        <v>0</v>
      </c>
      <c r="AG49" s="2">
        <v>0</v>
      </c>
      <c r="AH49" s="2">
        <v>0</v>
      </c>
      <c r="AI49" s="2">
        <v>0</v>
      </c>
      <c r="AJ49" s="2">
        <v>0</v>
      </c>
      <c r="AK49" s="2">
        <v>0</v>
      </c>
      <c r="AL49" s="2">
        <v>0</v>
      </c>
      <c r="AM49" s="2">
        <v>0</v>
      </c>
      <c r="AN49" s="2">
        <v>0</v>
      </c>
      <c r="AO49" s="2">
        <v>0</v>
      </c>
      <c r="AP49" s="2">
        <v>0</v>
      </c>
      <c r="AS49" s="125">
        <v>44208</v>
      </c>
      <c r="AT49" s="2">
        <v>33</v>
      </c>
      <c r="BZ49" s="2"/>
      <c r="CA49" s="19" t="s">
        <v>103</v>
      </c>
      <c r="CB49" s="2">
        <v>0</v>
      </c>
      <c r="CC49" s="2">
        <v>0</v>
      </c>
      <c r="CD49" s="2">
        <v>0</v>
      </c>
      <c r="CE49" s="2">
        <v>0</v>
      </c>
      <c r="CF49" s="2">
        <v>0</v>
      </c>
      <c r="CG49" s="2">
        <v>0</v>
      </c>
      <c r="CH49" s="2">
        <v>0</v>
      </c>
      <c r="CI49" s="2">
        <v>0</v>
      </c>
      <c r="CJ49" s="2">
        <v>0</v>
      </c>
      <c r="CK49" s="2">
        <v>0</v>
      </c>
      <c r="CL49" s="2">
        <v>0</v>
      </c>
      <c r="CM49" s="2">
        <v>0</v>
      </c>
      <c r="CN49" s="2">
        <v>0</v>
      </c>
      <c r="CP49" s="2"/>
      <c r="CR49" s="125">
        <v>44208</v>
      </c>
      <c r="CS49" s="2">
        <v>4</v>
      </c>
    </row>
    <row r="50" spans="29:97" x14ac:dyDescent="0.35">
      <c r="AC50" s="19" t="s">
        <v>104</v>
      </c>
      <c r="AD50" s="2">
        <v>0</v>
      </c>
      <c r="AE50" s="2">
        <v>0</v>
      </c>
      <c r="AF50" s="2">
        <v>0</v>
      </c>
      <c r="AG50" s="2">
        <v>0</v>
      </c>
      <c r="AH50" s="2">
        <v>0</v>
      </c>
      <c r="AI50" s="2">
        <v>0</v>
      </c>
      <c r="AJ50" s="2">
        <v>0</v>
      </c>
      <c r="AK50" s="2">
        <v>0</v>
      </c>
      <c r="AL50" s="2">
        <v>0</v>
      </c>
      <c r="AM50" s="2">
        <v>0</v>
      </c>
      <c r="AN50" s="2">
        <v>0</v>
      </c>
      <c r="AO50" s="2">
        <v>0</v>
      </c>
      <c r="AP50" s="2">
        <v>0</v>
      </c>
      <c r="AS50" s="125">
        <v>44209</v>
      </c>
      <c r="AT50" s="2">
        <v>30</v>
      </c>
      <c r="BZ50" s="2"/>
      <c r="CA50" s="19" t="s">
        <v>104</v>
      </c>
      <c r="CB50" s="2">
        <v>0</v>
      </c>
      <c r="CC50" s="2">
        <v>0</v>
      </c>
      <c r="CD50" s="2">
        <v>0</v>
      </c>
      <c r="CE50" s="2">
        <v>0</v>
      </c>
      <c r="CF50" s="2">
        <v>0</v>
      </c>
      <c r="CG50" s="2">
        <v>0</v>
      </c>
      <c r="CH50" s="2">
        <v>0</v>
      </c>
      <c r="CI50" s="2">
        <v>0</v>
      </c>
      <c r="CJ50" s="2">
        <v>0</v>
      </c>
      <c r="CK50" s="2">
        <v>0</v>
      </c>
      <c r="CL50" s="2">
        <v>0</v>
      </c>
      <c r="CM50" s="2">
        <v>0</v>
      </c>
      <c r="CN50" s="2">
        <v>0</v>
      </c>
      <c r="CP50" s="2"/>
      <c r="CR50" s="125">
        <v>44209</v>
      </c>
      <c r="CS50" s="2">
        <v>8</v>
      </c>
    </row>
    <row r="51" spans="29:97" x14ac:dyDescent="0.35">
      <c r="AC51" s="19" t="s">
        <v>105</v>
      </c>
      <c r="AD51" s="2">
        <v>0</v>
      </c>
      <c r="AE51" s="2">
        <v>6</v>
      </c>
      <c r="AF51" s="2">
        <v>0</v>
      </c>
      <c r="AG51" s="2">
        <v>1</v>
      </c>
      <c r="AH51" s="2">
        <v>3</v>
      </c>
      <c r="AI51" s="2">
        <v>0</v>
      </c>
      <c r="AJ51" s="2">
        <v>0</v>
      </c>
      <c r="AK51" s="2">
        <v>0</v>
      </c>
      <c r="AL51" s="2">
        <v>0</v>
      </c>
      <c r="AM51" s="2">
        <v>1</v>
      </c>
      <c r="AN51" s="2">
        <v>0</v>
      </c>
      <c r="AO51" s="2">
        <v>0</v>
      </c>
      <c r="AP51" s="2">
        <v>0</v>
      </c>
      <c r="AS51" s="125">
        <v>44210</v>
      </c>
      <c r="AT51" s="2">
        <v>26</v>
      </c>
      <c r="BZ51" s="2"/>
      <c r="CA51" s="19" t="s">
        <v>105</v>
      </c>
      <c r="CB51" s="2">
        <v>0</v>
      </c>
      <c r="CC51" s="2">
        <v>0</v>
      </c>
      <c r="CD51" s="2">
        <v>0</v>
      </c>
      <c r="CE51" s="2">
        <v>0</v>
      </c>
      <c r="CF51" s="2">
        <v>0</v>
      </c>
      <c r="CG51" s="2">
        <v>0</v>
      </c>
      <c r="CH51" s="2">
        <v>0</v>
      </c>
      <c r="CI51" s="2">
        <v>0</v>
      </c>
      <c r="CJ51" s="2">
        <v>3</v>
      </c>
      <c r="CK51" s="2">
        <v>0</v>
      </c>
      <c r="CL51" s="2">
        <v>0</v>
      </c>
      <c r="CM51" s="2">
        <v>0</v>
      </c>
      <c r="CN51" s="2">
        <v>0</v>
      </c>
      <c r="CP51" s="2"/>
      <c r="CR51" s="125">
        <v>44210</v>
      </c>
      <c r="CS51" s="2">
        <v>8</v>
      </c>
    </row>
    <row r="52" spans="29:97" x14ac:dyDescent="0.35">
      <c r="AC52" s="19" t="s">
        <v>106</v>
      </c>
      <c r="AD52" s="2">
        <v>6</v>
      </c>
      <c r="AE52" s="2">
        <v>0</v>
      </c>
      <c r="AF52" s="2">
        <v>0</v>
      </c>
      <c r="AG52" s="2">
        <v>36</v>
      </c>
      <c r="AH52" s="2">
        <v>30</v>
      </c>
      <c r="AI52" s="2">
        <v>0</v>
      </c>
      <c r="AJ52" s="2">
        <v>6</v>
      </c>
      <c r="AK52" s="2">
        <v>0</v>
      </c>
      <c r="AL52" s="2">
        <v>0</v>
      </c>
      <c r="AM52" s="2">
        <v>0</v>
      </c>
      <c r="AN52" s="2">
        <v>0</v>
      </c>
      <c r="AO52" s="2">
        <v>0</v>
      </c>
      <c r="AP52" s="2">
        <v>0</v>
      </c>
      <c r="AS52" s="125">
        <v>44211</v>
      </c>
      <c r="AT52" s="2">
        <v>13</v>
      </c>
      <c r="BZ52" s="2"/>
      <c r="CA52" s="19" t="s">
        <v>106</v>
      </c>
      <c r="CB52" s="2">
        <v>1</v>
      </c>
      <c r="CC52" s="2">
        <v>0</v>
      </c>
      <c r="CD52" s="2">
        <v>0</v>
      </c>
      <c r="CE52" s="2">
        <v>0</v>
      </c>
      <c r="CF52" s="2">
        <v>0</v>
      </c>
      <c r="CG52" s="2">
        <v>0</v>
      </c>
      <c r="CH52" s="2">
        <v>0</v>
      </c>
      <c r="CI52" s="2">
        <v>6</v>
      </c>
      <c r="CJ52" s="2">
        <v>8</v>
      </c>
      <c r="CK52" s="2">
        <v>0</v>
      </c>
      <c r="CL52" s="2">
        <v>1</v>
      </c>
      <c r="CM52" s="2">
        <v>0</v>
      </c>
      <c r="CN52" s="2">
        <v>0</v>
      </c>
      <c r="CP52" s="2"/>
      <c r="CR52" s="125">
        <v>44211</v>
      </c>
      <c r="CS52" s="2">
        <v>5</v>
      </c>
    </row>
    <row r="53" spans="29:97" x14ac:dyDescent="0.35">
      <c r="AC53" s="19" t="s">
        <v>107</v>
      </c>
      <c r="AD53" s="2">
        <v>0</v>
      </c>
      <c r="AE53" s="2">
        <v>0</v>
      </c>
      <c r="AF53" s="2">
        <v>0</v>
      </c>
      <c r="AG53" s="2">
        <v>0</v>
      </c>
      <c r="AH53" s="2">
        <v>0</v>
      </c>
      <c r="AI53" s="2">
        <v>0</v>
      </c>
      <c r="AJ53" s="2">
        <v>0</v>
      </c>
      <c r="AK53" s="2">
        <v>0</v>
      </c>
      <c r="AL53" s="2">
        <v>0</v>
      </c>
      <c r="AM53" s="2">
        <v>0</v>
      </c>
      <c r="AN53" s="2">
        <v>0</v>
      </c>
      <c r="AO53" s="2">
        <v>0</v>
      </c>
      <c r="AP53" s="2">
        <v>0</v>
      </c>
      <c r="AS53" s="125">
        <v>44212</v>
      </c>
      <c r="AT53" s="2">
        <v>7</v>
      </c>
      <c r="BZ53" s="2"/>
      <c r="CA53" s="19" t="s">
        <v>107</v>
      </c>
      <c r="CB53" s="2">
        <v>0</v>
      </c>
      <c r="CC53" s="2">
        <v>0</v>
      </c>
      <c r="CD53" s="2">
        <v>0</v>
      </c>
      <c r="CE53" s="2">
        <v>0</v>
      </c>
      <c r="CF53" s="2">
        <v>0</v>
      </c>
      <c r="CG53" s="2">
        <v>0</v>
      </c>
      <c r="CH53" s="2">
        <v>0</v>
      </c>
      <c r="CI53" s="2">
        <v>0</v>
      </c>
      <c r="CJ53" s="2">
        <v>0</v>
      </c>
      <c r="CK53" s="2">
        <v>0</v>
      </c>
      <c r="CL53" s="2">
        <v>0</v>
      </c>
      <c r="CM53" s="2">
        <v>0</v>
      </c>
      <c r="CN53" s="2">
        <v>0</v>
      </c>
      <c r="CP53" s="2"/>
      <c r="CR53" s="125">
        <v>44212</v>
      </c>
      <c r="CS53" s="2">
        <v>2</v>
      </c>
    </row>
    <row r="54" spans="29:97" x14ac:dyDescent="0.35">
      <c r="AC54" s="19" t="s">
        <v>108</v>
      </c>
      <c r="AD54" s="2">
        <v>0</v>
      </c>
      <c r="AE54" s="2">
        <v>0</v>
      </c>
      <c r="AF54" s="2">
        <v>0</v>
      </c>
      <c r="AG54" s="2">
        <v>0</v>
      </c>
      <c r="AH54" s="2">
        <v>0</v>
      </c>
      <c r="AI54" s="2">
        <v>0</v>
      </c>
      <c r="AJ54" s="2">
        <v>0</v>
      </c>
      <c r="AK54" s="2">
        <v>0</v>
      </c>
      <c r="AL54" s="2">
        <v>0</v>
      </c>
      <c r="AM54" s="2">
        <v>0</v>
      </c>
      <c r="AN54" s="2">
        <v>0</v>
      </c>
      <c r="AO54" s="2">
        <v>0</v>
      </c>
      <c r="AP54" s="2">
        <v>0</v>
      </c>
      <c r="AS54" s="125">
        <v>44213</v>
      </c>
      <c r="AT54" s="2">
        <v>25</v>
      </c>
      <c r="BZ54" s="2"/>
      <c r="CA54" s="19" t="s">
        <v>108</v>
      </c>
      <c r="CB54" s="2">
        <v>0</v>
      </c>
      <c r="CC54" s="2">
        <v>0</v>
      </c>
      <c r="CD54" s="2">
        <v>0</v>
      </c>
      <c r="CE54" s="2">
        <v>0</v>
      </c>
      <c r="CF54" s="2">
        <v>0</v>
      </c>
      <c r="CG54" s="2">
        <v>0</v>
      </c>
      <c r="CH54" s="2">
        <v>0</v>
      </c>
      <c r="CI54" s="2">
        <v>0</v>
      </c>
      <c r="CJ54" s="2">
        <v>0</v>
      </c>
      <c r="CK54" s="2">
        <v>0</v>
      </c>
      <c r="CL54" s="2">
        <v>0</v>
      </c>
      <c r="CM54" s="2">
        <v>0</v>
      </c>
      <c r="CN54" s="2">
        <v>0</v>
      </c>
      <c r="CP54" s="2"/>
      <c r="CR54" s="125">
        <v>44213</v>
      </c>
      <c r="CS54" s="2">
        <v>2</v>
      </c>
    </row>
    <row r="55" spans="29:97" x14ac:dyDescent="0.35">
      <c r="AC55" s="19" t="s">
        <v>109</v>
      </c>
      <c r="AD55" s="2">
        <v>31</v>
      </c>
      <c r="AE55" s="2">
        <v>0</v>
      </c>
      <c r="AF55" s="2">
        <v>0</v>
      </c>
      <c r="AG55" s="2">
        <v>0</v>
      </c>
      <c r="AH55" s="2">
        <v>0</v>
      </c>
      <c r="AI55" s="2">
        <v>0</v>
      </c>
      <c r="AJ55" s="2">
        <v>0</v>
      </c>
      <c r="AK55" s="2">
        <v>0</v>
      </c>
      <c r="AL55" s="2">
        <v>0</v>
      </c>
      <c r="AM55" s="2">
        <v>0</v>
      </c>
      <c r="AN55" s="2">
        <v>0</v>
      </c>
      <c r="AO55" s="2">
        <v>0</v>
      </c>
      <c r="AP55" s="2">
        <v>0</v>
      </c>
      <c r="AS55" s="125">
        <v>44214</v>
      </c>
      <c r="AT55" s="2">
        <v>17</v>
      </c>
      <c r="BZ55" s="2"/>
      <c r="CA55" s="19" t="s">
        <v>109</v>
      </c>
      <c r="CB55" s="2">
        <v>11</v>
      </c>
      <c r="CC55" s="2">
        <v>0</v>
      </c>
      <c r="CD55" s="2">
        <v>0</v>
      </c>
      <c r="CE55" s="2">
        <v>0</v>
      </c>
      <c r="CF55" s="2">
        <v>0</v>
      </c>
      <c r="CG55" s="2">
        <v>0</v>
      </c>
      <c r="CH55" s="2">
        <v>0</v>
      </c>
      <c r="CI55" s="2">
        <v>0</v>
      </c>
      <c r="CJ55" s="2">
        <v>0</v>
      </c>
      <c r="CK55" s="2">
        <v>0</v>
      </c>
      <c r="CL55" s="2">
        <v>0</v>
      </c>
      <c r="CM55" s="2">
        <v>0</v>
      </c>
      <c r="CN55" s="2">
        <v>0</v>
      </c>
      <c r="CP55" s="2"/>
      <c r="CR55" s="125">
        <v>44214</v>
      </c>
      <c r="CS55" s="2">
        <v>2</v>
      </c>
    </row>
    <row r="56" spans="29:97" x14ac:dyDescent="0.35">
      <c r="AC56" s="19" t="s">
        <v>261</v>
      </c>
      <c r="AD56" s="2">
        <v>49</v>
      </c>
      <c r="AE56" s="2">
        <v>0</v>
      </c>
      <c r="AF56" s="2">
        <v>0</v>
      </c>
      <c r="AG56" s="2">
        <v>0</v>
      </c>
      <c r="AH56" s="2">
        <v>0</v>
      </c>
      <c r="AI56" s="2">
        <v>0</v>
      </c>
      <c r="AJ56" s="2">
        <v>4</v>
      </c>
      <c r="AK56" s="2">
        <v>6</v>
      </c>
      <c r="AL56" s="2">
        <v>0</v>
      </c>
      <c r="AM56" s="2">
        <v>23</v>
      </c>
      <c r="AN56" s="2">
        <v>0</v>
      </c>
      <c r="AO56" s="2">
        <v>2</v>
      </c>
      <c r="AP56" s="2">
        <v>3</v>
      </c>
      <c r="AS56" s="125">
        <v>44215</v>
      </c>
      <c r="AT56" s="2">
        <v>23</v>
      </c>
      <c r="BZ56" s="2"/>
      <c r="CA56" s="19" t="s">
        <v>261</v>
      </c>
      <c r="CB56" s="2">
        <v>49</v>
      </c>
      <c r="CC56" s="2">
        <v>23</v>
      </c>
      <c r="CD56" s="2">
        <v>0</v>
      </c>
      <c r="CE56" s="2">
        <v>2</v>
      </c>
      <c r="CF56" s="2">
        <v>3</v>
      </c>
      <c r="CG56" s="2">
        <v>0</v>
      </c>
      <c r="CH56" s="2">
        <v>0</v>
      </c>
      <c r="CI56" s="2">
        <v>0</v>
      </c>
      <c r="CJ56" s="2">
        <v>0</v>
      </c>
      <c r="CK56" s="2">
        <v>0</v>
      </c>
      <c r="CL56" s="2">
        <v>4</v>
      </c>
      <c r="CM56" s="2">
        <v>6</v>
      </c>
      <c r="CN56" s="2">
        <v>0</v>
      </c>
      <c r="CP56" s="2"/>
      <c r="CR56" s="125">
        <v>44215</v>
      </c>
      <c r="CS56" s="2">
        <v>4</v>
      </c>
    </row>
    <row r="57" spans="29:97" x14ac:dyDescent="0.35">
      <c r="AC57" s="19" t="s">
        <v>221</v>
      </c>
      <c r="AD57" s="2">
        <v>16</v>
      </c>
      <c r="AE57" s="2">
        <v>5</v>
      </c>
      <c r="AF57" s="2">
        <v>36</v>
      </c>
      <c r="AG57" s="2">
        <v>17</v>
      </c>
      <c r="AH57" s="2">
        <v>16</v>
      </c>
      <c r="AI57" s="2">
        <v>14</v>
      </c>
      <c r="AJ57" s="2">
        <v>6</v>
      </c>
      <c r="AK57" s="2">
        <v>3</v>
      </c>
      <c r="AL57" s="2">
        <v>6</v>
      </c>
      <c r="AM57" s="2">
        <v>6</v>
      </c>
      <c r="AN57" s="2">
        <v>11</v>
      </c>
      <c r="AO57" s="2">
        <v>13</v>
      </c>
      <c r="AP57" s="2">
        <v>15</v>
      </c>
      <c r="AS57" s="125">
        <v>44216</v>
      </c>
      <c r="AT57" s="2">
        <v>41</v>
      </c>
      <c r="BZ57" s="2"/>
      <c r="CA57" s="19" t="s">
        <v>221</v>
      </c>
      <c r="CB57" s="2">
        <v>8</v>
      </c>
      <c r="CC57" s="2">
        <v>2</v>
      </c>
      <c r="CD57" s="2">
        <v>5</v>
      </c>
      <c r="CE57" s="2">
        <v>6</v>
      </c>
      <c r="CF57" s="2">
        <v>10</v>
      </c>
      <c r="CG57" s="2">
        <v>1</v>
      </c>
      <c r="CH57" s="2">
        <v>19</v>
      </c>
      <c r="CI57" s="2">
        <v>8</v>
      </c>
      <c r="CJ57" s="2">
        <v>6</v>
      </c>
      <c r="CK57" s="2">
        <v>5</v>
      </c>
      <c r="CL57" s="2">
        <v>2</v>
      </c>
      <c r="CM57" s="2">
        <v>2</v>
      </c>
      <c r="CN57" s="2">
        <v>0</v>
      </c>
      <c r="CP57" s="2"/>
      <c r="CR57" s="125">
        <v>44216</v>
      </c>
      <c r="CS57" s="2">
        <v>9</v>
      </c>
    </row>
    <row r="58" spans="29:97" x14ac:dyDescent="0.35">
      <c r="AC58" s="19" t="s">
        <v>110</v>
      </c>
      <c r="AD58" s="2">
        <v>0</v>
      </c>
      <c r="AE58" s="2">
        <v>0</v>
      </c>
      <c r="AF58" s="2">
        <v>0</v>
      </c>
      <c r="AG58" s="2">
        <v>0</v>
      </c>
      <c r="AH58" s="2">
        <v>0</v>
      </c>
      <c r="AI58" s="2">
        <v>30</v>
      </c>
      <c r="AJ58" s="2">
        <v>24</v>
      </c>
      <c r="AK58" s="2">
        <v>0</v>
      </c>
      <c r="AL58" s="2">
        <v>0</v>
      </c>
      <c r="AM58" s="2">
        <v>0</v>
      </c>
      <c r="AN58" s="2">
        <v>0</v>
      </c>
      <c r="AO58" s="2">
        <v>0</v>
      </c>
      <c r="AP58" s="2">
        <v>0</v>
      </c>
      <c r="AS58" s="125">
        <v>44217</v>
      </c>
      <c r="AT58" s="2">
        <v>17</v>
      </c>
      <c r="BZ58" s="2"/>
      <c r="CA58" s="19" t="s">
        <v>110</v>
      </c>
      <c r="CB58" s="2">
        <v>0</v>
      </c>
      <c r="CC58" s="2">
        <v>0</v>
      </c>
      <c r="CD58" s="2">
        <v>0</v>
      </c>
      <c r="CE58" s="2">
        <v>0</v>
      </c>
      <c r="CF58" s="2">
        <v>0</v>
      </c>
      <c r="CG58" s="2">
        <v>0</v>
      </c>
      <c r="CH58" s="2">
        <v>0</v>
      </c>
      <c r="CI58" s="2">
        <v>0</v>
      </c>
      <c r="CJ58" s="2">
        <v>0</v>
      </c>
      <c r="CK58" s="2">
        <v>6</v>
      </c>
      <c r="CL58" s="2">
        <v>5</v>
      </c>
      <c r="CM58" s="2">
        <v>0</v>
      </c>
      <c r="CN58" s="2">
        <v>0</v>
      </c>
      <c r="CP58" s="2"/>
      <c r="CR58" s="125">
        <v>44217</v>
      </c>
      <c r="CS58" s="2">
        <v>7</v>
      </c>
    </row>
    <row r="59" spans="29:97" x14ac:dyDescent="0.35">
      <c r="AC59" s="19" t="s">
        <v>111</v>
      </c>
      <c r="AD59" s="2">
        <v>0</v>
      </c>
      <c r="AE59" s="2">
        <v>0</v>
      </c>
      <c r="AF59" s="2">
        <v>0</v>
      </c>
      <c r="AG59" s="2">
        <v>0</v>
      </c>
      <c r="AH59" s="2">
        <v>0</v>
      </c>
      <c r="AI59" s="2">
        <v>0</v>
      </c>
      <c r="AJ59" s="2">
        <v>0</v>
      </c>
      <c r="AK59" s="2">
        <v>0</v>
      </c>
      <c r="AL59" s="2">
        <v>0</v>
      </c>
      <c r="AM59" s="2">
        <v>0</v>
      </c>
      <c r="AN59" s="2">
        <v>0</v>
      </c>
      <c r="AO59" s="2">
        <v>0</v>
      </c>
      <c r="AP59" s="2">
        <v>0</v>
      </c>
      <c r="AS59" s="125">
        <v>44218</v>
      </c>
      <c r="AT59" s="2">
        <v>14</v>
      </c>
      <c r="BZ59" s="2"/>
      <c r="CA59" s="19" t="s">
        <v>111</v>
      </c>
      <c r="CB59" s="2">
        <v>0</v>
      </c>
      <c r="CC59" s="2">
        <v>0</v>
      </c>
      <c r="CD59" s="2">
        <v>0</v>
      </c>
      <c r="CE59" s="2">
        <v>0</v>
      </c>
      <c r="CF59" s="2">
        <v>0</v>
      </c>
      <c r="CG59" s="2">
        <v>0</v>
      </c>
      <c r="CH59" s="2">
        <v>0</v>
      </c>
      <c r="CI59" s="2">
        <v>0</v>
      </c>
      <c r="CJ59" s="2">
        <v>0</v>
      </c>
      <c r="CK59" s="2">
        <v>0</v>
      </c>
      <c r="CL59" s="2">
        <v>0</v>
      </c>
      <c r="CM59" s="2">
        <v>0</v>
      </c>
      <c r="CN59" s="2">
        <v>0</v>
      </c>
      <c r="CP59" s="2"/>
      <c r="CR59" s="125">
        <v>44218</v>
      </c>
      <c r="CS59" s="2">
        <v>9</v>
      </c>
    </row>
    <row r="60" spans="29:97" x14ac:dyDescent="0.35">
      <c r="AC60" s="19" t="s">
        <v>112</v>
      </c>
      <c r="AD60" s="2">
        <v>0</v>
      </c>
      <c r="AE60" s="2">
        <v>0</v>
      </c>
      <c r="AF60" s="2">
        <v>0</v>
      </c>
      <c r="AG60" s="2">
        <v>0</v>
      </c>
      <c r="AH60" s="2">
        <v>0</v>
      </c>
      <c r="AI60" s="2">
        <v>0</v>
      </c>
      <c r="AJ60" s="2">
        <v>0</v>
      </c>
      <c r="AK60" s="2">
        <v>0</v>
      </c>
      <c r="AL60" s="2">
        <v>0</v>
      </c>
      <c r="AM60" s="2">
        <v>0</v>
      </c>
      <c r="AN60" s="2">
        <v>0</v>
      </c>
      <c r="AO60" s="2">
        <v>0</v>
      </c>
      <c r="AP60" s="2">
        <v>0</v>
      </c>
      <c r="AS60" s="125">
        <v>44219</v>
      </c>
      <c r="AT60" s="2">
        <v>4</v>
      </c>
      <c r="BZ60" s="2"/>
      <c r="CA60" s="19" t="s">
        <v>112</v>
      </c>
      <c r="CB60" s="2">
        <v>0</v>
      </c>
      <c r="CC60" s="2">
        <v>0</v>
      </c>
      <c r="CD60" s="2">
        <v>0</v>
      </c>
      <c r="CE60" s="2">
        <v>0</v>
      </c>
      <c r="CF60" s="2">
        <v>0</v>
      </c>
      <c r="CG60" s="2">
        <v>0</v>
      </c>
      <c r="CH60" s="2">
        <v>0</v>
      </c>
      <c r="CI60" s="2">
        <v>0</v>
      </c>
      <c r="CJ60" s="2">
        <v>0</v>
      </c>
      <c r="CK60" s="2">
        <v>0</v>
      </c>
      <c r="CL60" s="2">
        <v>0</v>
      </c>
      <c r="CM60" s="2">
        <v>0</v>
      </c>
      <c r="CN60" s="2">
        <v>0</v>
      </c>
      <c r="CP60" s="2"/>
      <c r="CR60" s="125">
        <v>44219</v>
      </c>
      <c r="CS60" s="2">
        <v>3</v>
      </c>
    </row>
    <row r="61" spans="29:97" x14ac:dyDescent="0.35">
      <c r="AC61" s="19" t="s">
        <v>432</v>
      </c>
      <c r="AD61" s="2">
        <v>0</v>
      </c>
      <c r="AE61" s="2">
        <v>0</v>
      </c>
      <c r="AF61" s="2">
        <v>0</v>
      </c>
      <c r="AG61" s="2">
        <v>0</v>
      </c>
      <c r="AH61" s="2">
        <v>0</v>
      </c>
      <c r="AI61" s="2">
        <v>0</v>
      </c>
      <c r="AJ61" s="2">
        <v>0</v>
      </c>
      <c r="AK61" s="2">
        <v>0</v>
      </c>
      <c r="AL61" s="2">
        <v>0</v>
      </c>
      <c r="AM61" s="2">
        <v>0</v>
      </c>
      <c r="AN61" s="2">
        <v>0</v>
      </c>
      <c r="AO61" s="2">
        <v>0</v>
      </c>
      <c r="AP61" s="2">
        <v>0</v>
      </c>
      <c r="AS61" s="125">
        <v>44220</v>
      </c>
      <c r="AT61" s="2">
        <v>6</v>
      </c>
      <c r="BZ61" s="2"/>
      <c r="CA61" s="19" t="s">
        <v>432</v>
      </c>
      <c r="CB61" s="2">
        <v>0</v>
      </c>
      <c r="CC61" s="2">
        <v>0</v>
      </c>
      <c r="CD61" s="2">
        <v>0</v>
      </c>
      <c r="CE61" s="2">
        <v>0</v>
      </c>
      <c r="CF61" s="2">
        <v>0</v>
      </c>
      <c r="CG61" s="2">
        <v>0</v>
      </c>
      <c r="CH61" s="2">
        <v>0</v>
      </c>
      <c r="CI61" s="2">
        <v>0</v>
      </c>
      <c r="CJ61" s="2">
        <v>0</v>
      </c>
      <c r="CK61" s="2">
        <v>0</v>
      </c>
      <c r="CL61" s="2">
        <v>0</v>
      </c>
      <c r="CM61" s="2">
        <v>0</v>
      </c>
      <c r="CN61" s="2">
        <v>0</v>
      </c>
      <c r="CP61" s="2"/>
      <c r="CR61" s="125">
        <v>44220</v>
      </c>
      <c r="CS61" s="2">
        <v>1</v>
      </c>
    </row>
    <row r="62" spans="29:97" x14ac:dyDescent="0.35">
      <c r="AC62" s="19" t="s">
        <v>113</v>
      </c>
      <c r="AD62" s="2">
        <v>0</v>
      </c>
      <c r="AE62" s="2">
        <v>0</v>
      </c>
      <c r="AF62" s="2">
        <v>0</v>
      </c>
      <c r="AG62" s="2">
        <v>0</v>
      </c>
      <c r="AH62" s="2">
        <v>0</v>
      </c>
      <c r="AI62" s="2">
        <v>0</v>
      </c>
      <c r="AJ62" s="2">
        <v>0</v>
      </c>
      <c r="AK62" s="2">
        <v>0</v>
      </c>
      <c r="AL62" s="2">
        <v>0</v>
      </c>
      <c r="AM62" s="2">
        <v>0</v>
      </c>
      <c r="AN62" s="2">
        <v>0</v>
      </c>
      <c r="AO62" s="2">
        <v>0</v>
      </c>
      <c r="AP62" s="2">
        <v>0</v>
      </c>
      <c r="AS62" s="125">
        <v>44221</v>
      </c>
      <c r="AT62" s="2">
        <v>26</v>
      </c>
      <c r="BZ62" s="2"/>
      <c r="CA62" s="19" t="s">
        <v>113</v>
      </c>
      <c r="CB62" s="2">
        <v>0</v>
      </c>
      <c r="CC62" s="2">
        <v>0</v>
      </c>
      <c r="CD62" s="2">
        <v>0</v>
      </c>
      <c r="CE62" s="2">
        <v>0</v>
      </c>
      <c r="CF62" s="2">
        <v>0</v>
      </c>
      <c r="CG62" s="2">
        <v>0</v>
      </c>
      <c r="CH62" s="2">
        <v>0</v>
      </c>
      <c r="CI62" s="2">
        <v>0</v>
      </c>
      <c r="CJ62" s="2">
        <v>0</v>
      </c>
      <c r="CK62" s="2">
        <v>0</v>
      </c>
      <c r="CL62" s="2">
        <v>0</v>
      </c>
      <c r="CM62" s="2">
        <v>0</v>
      </c>
      <c r="CN62" s="2">
        <v>0</v>
      </c>
      <c r="CP62" s="2"/>
      <c r="CR62" s="125">
        <v>44221</v>
      </c>
      <c r="CS62" s="2">
        <v>4</v>
      </c>
    </row>
    <row r="63" spans="29:97" x14ac:dyDescent="0.35">
      <c r="AC63" s="19" t="s">
        <v>114</v>
      </c>
      <c r="AD63" s="2">
        <v>0</v>
      </c>
      <c r="AE63" s="2">
        <v>0</v>
      </c>
      <c r="AF63" s="2">
        <v>0</v>
      </c>
      <c r="AG63" s="2">
        <v>0</v>
      </c>
      <c r="AH63" s="2">
        <v>0</v>
      </c>
      <c r="AI63" s="2">
        <v>0</v>
      </c>
      <c r="AJ63" s="2">
        <v>0</v>
      </c>
      <c r="AK63" s="2">
        <v>0</v>
      </c>
      <c r="AL63" s="2">
        <v>0</v>
      </c>
      <c r="AM63" s="2">
        <v>0</v>
      </c>
      <c r="AN63" s="2">
        <v>4</v>
      </c>
      <c r="AO63" s="2">
        <v>0</v>
      </c>
      <c r="AP63" s="2">
        <v>0</v>
      </c>
      <c r="AS63" s="125">
        <v>44222</v>
      </c>
      <c r="AT63" s="2">
        <v>32</v>
      </c>
      <c r="BZ63" s="2"/>
      <c r="CA63" s="19" t="s">
        <v>114</v>
      </c>
      <c r="CB63" s="2">
        <v>0</v>
      </c>
      <c r="CC63" s="2">
        <v>0</v>
      </c>
      <c r="CD63" s="2">
        <v>0</v>
      </c>
      <c r="CE63" s="2">
        <v>0</v>
      </c>
      <c r="CF63" s="2">
        <v>0</v>
      </c>
      <c r="CG63" s="2">
        <v>0</v>
      </c>
      <c r="CH63" s="2">
        <v>0</v>
      </c>
      <c r="CI63" s="2">
        <v>0</v>
      </c>
      <c r="CJ63" s="2">
        <v>0</v>
      </c>
      <c r="CK63" s="2">
        <v>0</v>
      </c>
      <c r="CL63" s="2">
        <v>0</v>
      </c>
      <c r="CM63" s="2">
        <v>0</v>
      </c>
      <c r="CN63" s="2">
        <v>0</v>
      </c>
      <c r="CP63" s="2"/>
      <c r="CR63" s="125">
        <v>44222</v>
      </c>
      <c r="CS63" s="2">
        <v>6</v>
      </c>
    </row>
    <row r="64" spans="29:97" x14ac:dyDescent="0.35">
      <c r="AC64" s="19" t="s">
        <v>115</v>
      </c>
      <c r="AD64" s="2">
        <v>0</v>
      </c>
      <c r="AE64" s="2">
        <v>0</v>
      </c>
      <c r="AF64" s="2">
        <v>0</v>
      </c>
      <c r="AG64" s="2">
        <v>0</v>
      </c>
      <c r="AH64" s="2">
        <v>0</v>
      </c>
      <c r="AI64" s="2">
        <v>0</v>
      </c>
      <c r="AJ64" s="2">
        <v>0</v>
      </c>
      <c r="AK64" s="2">
        <v>0</v>
      </c>
      <c r="AL64" s="2">
        <v>0</v>
      </c>
      <c r="AM64" s="2">
        <v>0</v>
      </c>
      <c r="AN64" s="2">
        <v>0</v>
      </c>
      <c r="AO64" s="2">
        <v>0</v>
      </c>
      <c r="AP64" s="2">
        <v>0</v>
      </c>
      <c r="AS64" s="125">
        <v>44223</v>
      </c>
      <c r="AT64" s="2">
        <v>25</v>
      </c>
      <c r="BZ64" s="2"/>
      <c r="CA64" s="19" t="s">
        <v>115</v>
      </c>
      <c r="CB64" s="2">
        <v>0</v>
      </c>
      <c r="CC64" s="2">
        <v>0</v>
      </c>
      <c r="CD64" s="2">
        <v>0</v>
      </c>
      <c r="CE64" s="2">
        <v>0</v>
      </c>
      <c r="CF64" s="2">
        <v>0</v>
      </c>
      <c r="CG64" s="2">
        <v>0</v>
      </c>
      <c r="CH64" s="2">
        <v>0</v>
      </c>
      <c r="CI64" s="2">
        <v>0</v>
      </c>
      <c r="CJ64" s="2">
        <v>0</v>
      </c>
      <c r="CK64" s="2">
        <v>0</v>
      </c>
      <c r="CL64" s="2">
        <v>0</v>
      </c>
      <c r="CM64" s="2">
        <v>0</v>
      </c>
      <c r="CN64" s="2">
        <v>0</v>
      </c>
      <c r="CP64" s="2"/>
      <c r="CR64" s="125">
        <v>44223</v>
      </c>
      <c r="CS64" s="2">
        <v>3</v>
      </c>
    </row>
    <row r="65" spans="29:97" x14ac:dyDescent="0.35">
      <c r="AC65" s="19" t="s">
        <v>116</v>
      </c>
      <c r="AD65" s="2">
        <v>15</v>
      </c>
      <c r="AE65" s="2">
        <v>0</v>
      </c>
      <c r="AF65" s="2">
        <v>0</v>
      </c>
      <c r="AG65" s="2">
        <v>0</v>
      </c>
      <c r="AH65" s="2">
        <v>6</v>
      </c>
      <c r="AI65" s="2">
        <v>6</v>
      </c>
      <c r="AJ65" s="2">
        <v>0</v>
      </c>
      <c r="AK65" s="2">
        <v>0</v>
      </c>
      <c r="AL65" s="2">
        <v>0</v>
      </c>
      <c r="AM65" s="2">
        <v>0</v>
      </c>
      <c r="AN65" s="2">
        <v>0</v>
      </c>
      <c r="AO65" s="2">
        <v>0</v>
      </c>
      <c r="AP65" s="2">
        <v>0</v>
      </c>
      <c r="AS65" s="125">
        <v>44224</v>
      </c>
      <c r="AT65" s="2">
        <v>24</v>
      </c>
      <c r="BZ65" s="2"/>
      <c r="CA65" s="19" t="s">
        <v>116</v>
      </c>
      <c r="CB65" s="2">
        <v>10</v>
      </c>
      <c r="CC65" s="2">
        <v>0</v>
      </c>
      <c r="CD65" s="2">
        <v>0</v>
      </c>
      <c r="CE65" s="2">
        <v>0</v>
      </c>
      <c r="CF65" s="2">
        <v>0</v>
      </c>
      <c r="CG65" s="2">
        <v>0</v>
      </c>
      <c r="CH65" s="2">
        <v>0</v>
      </c>
      <c r="CI65" s="2">
        <v>0</v>
      </c>
      <c r="CJ65" s="2">
        <v>0</v>
      </c>
      <c r="CK65" s="2">
        <v>0</v>
      </c>
      <c r="CL65" s="2">
        <v>0</v>
      </c>
      <c r="CM65" s="2">
        <v>0</v>
      </c>
      <c r="CN65" s="2">
        <v>0</v>
      </c>
      <c r="CP65" s="2"/>
      <c r="CR65" s="125">
        <v>44224</v>
      </c>
      <c r="CS65" s="2">
        <v>6</v>
      </c>
    </row>
    <row r="66" spans="29:97" x14ac:dyDescent="0.35">
      <c r="AC66" s="19" t="s">
        <v>117</v>
      </c>
      <c r="AD66" s="2">
        <v>0</v>
      </c>
      <c r="AE66" s="2">
        <v>0</v>
      </c>
      <c r="AF66" s="2">
        <v>0</v>
      </c>
      <c r="AG66" s="2">
        <v>0</v>
      </c>
      <c r="AH66" s="2">
        <v>0</v>
      </c>
      <c r="AI66" s="2">
        <v>0</v>
      </c>
      <c r="AJ66" s="2">
        <v>0</v>
      </c>
      <c r="AK66" s="2">
        <v>0</v>
      </c>
      <c r="AL66" s="2">
        <v>0</v>
      </c>
      <c r="AM66" s="2">
        <v>0</v>
      </c>
      <c r="AN66" s="2">
        <v>0</v>
      </c>
      <c r="AO66" s="2">
        <v>0</v>
      </c>
      <c r="AP66" s="2">
        <v>0</v>
      </c>
      <c r="AS66" s="125">
        <v>44225</v>
      </c>
      <c r="AT66" s="2">
        <v>48</v>
      </c>
      <c r="BZ66" s="2"/>
      <c r="CA66" s="19" t="s">
        <v>117</v>
      </c>
      <c r="CB66" s="2">
        <v>0</v>
      </c>
      <c r="CC66" s="2">
        <v>0</v>
      </c>
      <c r="CD66" s="2">
        <v>0</v>
      </c>
      <c r="CE66" s="2">
        <v>0</v>
      </c>
      <c r="CF66" s="2">
        <v>0</v>
      </c>
      <c r="CG66" s="2">
        <v>0</v>
      </c>
      <c r="CH66" s="2">
        <v>0</v>
      </c>
      <c r="CI66" s="2">
        <v>0</v>
      </c>
      <c r="CJ66" s="2">
        <v>0</v>
      </c>
      <c r="CK66" s="2">
        <v>0</v>
      </c>
      <c r="CL66" s="2">
        <v>0</v>
      </c>
      <c r="CM66" s="2">
        <v>0</v>
      </c>
      <c r="CN66" s="2">
        <v>0</v>
      </c>
      <c r="CP66" s="2"/>
      <c r="CR66" s="125">
        <v>44225</v>
      </c>
      <c r="CS66" s="2">
        <v>18</v>
      </c>
    </row>
    <row r="67" spans="29:97" x14ac:dyDescent="0.35">
      <c r="AC67" s="19" t="s">
        <v>289</v>
      </c>
      <c r="AD67" s="2">
        <v>0</v>
      </c>
      <c r="AE67" s="2">
        <v>0</v>
      </c>
      <c r="AF67" s="2">
        <v>0</v>
      </c>
      <c r="AG67" s="2">
        <v>0</v>
      </c>
      <c r="AH67" s="2">
        <v>0</v>
      </c>
      <c r="AI67" s="2">
        <v>0</v>
      </c>
      <c r="AJ67" s="2">
        <v>0</v>
      </c>
      <c r="AK67" s="2">
        <v>0</v>
      </c>
      <c r="AL67" s="2">
        <v>0</v>
      </c>
      <c r="AM67" s="2">
        <v>0</v>
      </c>
      <c r="AN67" s="2">
        <v>0</v>
      </c>
      <c r="AO67" s="2">
        <v>0</v>
      </c>
      <c r="AP67" s="2">
        <v>0</v>
      </c>
      <c r="AS67" s="125">
        <v>44226</v>
      </c>
      <c r="AT67" s="2">
        <v>17</v>
      </c>
      <c r="BZ67" s="2"/>
      <c r="CA67" s="19" t="s">
        <v>289</v>
      </c>
      <c r="CB67" s="2">
        <v>0</v>
      </c>
      <c r="CC67" s="2">
        <v>0</v>
      </c>
      <c r="CD67" s="2">
        <v>0</v>
      </c>
      <c r="CE67" s="2">
        <v>0</v>
      </c>
      <c r="CF67" s="2">
        <v>0</v>
      </c>
      <c r="CG67" s="2">
        <v>0</v>
      </c>
      <c r="CH67" s="2">
        <v>0</v>
      </c>
      <c r="CI67" s="2">
        <v>0</v>
      </c>
      <c r="CJ67" s="2">
        <v>0</v>
      </c>
      <c r="CK67" s="2">
        <v>0</v>
      </c>
      <c r="CL67" s="2">
        <v>0</v>
      </c>
      <c r="CM67" s="2">
        <v>0</v>
      </c>
      <c r="CN67" s="2">
        <v>0</v>
      </c>
      <c r="CP67" s="2"/>
      <c r="CR67" s="125">
        <v>44226</v>
      </c>
      <c r="CS67" s="2">
        <v>3</v>
      </c>
    </row>
    <row r="68" spans="29:97" x14ac:dyDescent="0.35">
      <c r="AC68" s="19" t="s">
        <v>118</v>
      </c>
      <c r="AD68" s="2">
        <v>0</v>
      </c>
      <c r="AE68" s="2">
        <v>0</v>
      </c>
      <c r="AF68" s="2">
        <v>0</v>
      </c>
      <c r="AG68" s="2">
        <v>0</v>
      </c>
      <c r="AH68" s="2">
        <v>0</v>
      </c>
      <c r="AI68" s="2">
        <v>0</v>
      </c>
      <c r="AJ68" s="2">
        <v>0</v>
      </c>
      <c r="AK68" s="2">
        <v>0</v>
      </c>
      <c r="AL68" s="2">
        <v>0</v>
      </c>
      <c r="AM68" s="2">
        <v>0</v>
      </c>
      <c r="AN68" s="2">
        <v>0</v>
      </c>
      <c r="AO68" s="2">
        <v>0</v>
      </c>
      <c r="AP68" s="2">
        <v>0</v>
      </c>
      <c r="AS68" s="125">
        <v>44227</v>
      </c>
      <c r="AT68" s="2">
        <v>25</v>
      </c>
      <c r="BZ68" s="2"/>
      <c r="CA68" s="19" t="s">
        <v>118</v>
      </c>
      <c r="CB68" s="2">
        <v>0</v>
      </c>
      <c r="CC68" s="2">
        <v>0</v>
      </c>
      <c r="CD68" s="2">
        <v>0</v>
      </c>
      <c r="CE68" s="2">
        <v>0</v>
      </c>
      <c r="CF68" s="2">
        <v>0</v>
      </c>
      <c r="CG68" s="2">
        <v>0</v>
      </c>
      <c r="CH68" s="2">
        <v>0</v>
      </c>
      <c r="CI68" s="2">
        <v>0</v>
      </c>
      <c r="CJ68" s="2">
        <v>0</v>
      </c>
      <c r="CK68" s="2">
        <v>0</v>
      </c>
      <c r="CL68" s="2">
        <v>0</v>
      </c>
      <c r="CM68" s="2">
        <v>0</v>
      </c>
      <c r="CN68" s="2">
        <v>0</v>
      </c>
      <c r="CP68" s="2"/>
      <c r="CR68" s="125">
        <v>44227</v>
      </c>
      <c r="CS68" s="2">
        <v>2</v>
      </c>
    </row>
    <row r="69" spans="29:97" x14ac:dyDescent="0.35">
      <c r="AC69" s="19" t="s">
        <v>119</v>
      </c>
      <c r="AD69" s="2">
        <v>0</v>
      </c>
      <c r="AE69" s="2">
        <v>0</v>
      </c>
      <c r="AF69" s="2">
        <v>0</v>
      </c>
      <c r="AG69" s="2">
        <v>0</v>
      </c>
      <c r="AH69" s="2">
        <v>0</v>
      </c>
      <c r="AI69" s="2">
        <v>0</v>
      </c>
      <c r="AJ69" s="2">
        <v>0</v>
      </c>
      <c r="AK69" s="2">
        <v>0</v>
      </c>
      <c r="AL69" s="2">
        <v>0</v>
      </c>
      <c r="AM69" s="2">
        <v>0</v>
      </c>
      <c r="AN69" s="2">
        <v>0</v>
      </c>
      <c r="AO69" s="2">
        <v>0</v>
      </c>
      <c r="AP69" s="2">
        <v>0</v>
      </c>
      <c r="AS69" s="125">
        <v>44228</v>
      </c>
      <c r="AT69" s="2">
        <v>13</v>
      </c>
      <c r="BZ69" s="2"/>
      <c r="CA69" s="19" t="s">
        <v>119</v>
      </c>
      <c r="CB69" s="2">
        <v>0</v>
      </c>
      <c r="CC69" s="2">
        <v>0</v>
      </c>
      <c r="CD69" s="2">
        <v>0</v>
      </c>
      <c r="CE69" s="2">
        <v>0</v>
      </c>
      <c r="CF69" s="2">
        <v>0</v>
      </c>
      <c r="CG69" s="2">
        <v>0</v>
      </c>
      <c r="CH69" s="2">
        <v>0</v>
      </c>
      <c r="CI69" s="2">
        <v>0</v>
      </c>
      <c r="CJ69" s="2">
        <v>0</v>
      </c>
      <c r="CK69" s="2">
        <v>0</v>
      </c>
      <c r="CL69" s="2">
        <v>0</v>
      </c>
      <c r="CM69" s="2">
        <v>0</v>
      </c>
      <c r="CN69" s="2">
        <v>0</v>
      </c>
      <c r="CP69" s="2"/>
      <c r="CR69" s="125">
        <v>44228</v>
      </c>
      <c r="CS69" s="2">
        <v>3</v>
      </c>
    </row>
    <row r="70" spans="29:97" x14ac:dyDescent="0.35">
      <c r="AC70" s="19" t="s">
        <v>120</v>
      </c>
      <c r="AD70" s="2">
        <v>0</v>
      </c>
      <c r="AE70" s="2">
        <v>0</v>
      </c>
      <c r="AF70" s="2">
        <v>0</v>
      </c>
      <c r="AG70" s="2">
        <v>0</v>
      </c>
      <c r="AH70" s="2">
        <v>0</v>
      </c>
      <c r="AI70" s="2">
        <v>0</v>
      </c>
      <c r="AJ70" s="2">
        <v>0</v>
      </c>
      <c r="AK70" s="2">
        <v>0</v>
      </c>
      <c r="AL70" s="2">
        <v>0</v>
      </c>
      <c r="AM70" s="2">
        <v>0</v>
      </c>
      <c r="AN70" s="2">
        <v>0</v>
      </c>
      <c r="AO70" s="2">
        <v>0</v>
      </c>
      <c r="AP70" s="2">
        <v>0</v>
      </c>
      <c r="AS70" s="125">
        <v>44229</v>
      </c>
      <c r="AT70" s="2">
        <v>72</v>
      </c>
      <c r="BZ70" s="2"/>
      <c r="CA70" s="19" t="s">
        <v>120</v>
      </c>
      <c r="CB70" s="2">
        <v>0</v>
      </c>
      <c r="CC70" s="2">
        <v>0</v>
      </c>
      <c r="CD70" s="2">
        <v>0</v>
      </c>
      <c r="CE70" s="2">
        <v>0</v>
      </c>
      <c r="CF70" s="2">
        <v>0</v>
      </c>
      <c r="CG70" s="2">
        <v>0</v>
      </c>
      <c r="CH70" s="2">
        <v>0</v>
      </c>
      <c r="CI70" s="2">
        <v>0</v>
      </c>
      <c r="CJ70" s="2">
        <v>0</v>
      </c>
      <c r="CK70" s="2">
        <v>0</v>
      </c>
      <c r="CL70" s="2">
        <v>0</v>
      </c>
      <c r="CM70" s="2">
        <v>0</v>
      </c>
      <c r="CN70" s="2">
        <v>0</v>
      </c>
      <c r="CP70" s="2"/>
      <c r="CR70" s="125">
        <v>44229</v>
      </c>
      <c r="CS70" s="2">
        <v>40</v>
      </c>
    </row>
    <row r="71" spans="29:97" x14ac:dyDescent="0.35">
      <c r="AC71" s="19" t="s">
        <v>121</v>
      </c>
      <c r="AD71" s="2">
        <v>0</v>
      </c>
      <c r="AE71" s="2">
        <v>0</v>
      </c>
      <c r="AF71" s="2">
        <v>0</v>
      </c>
      <c r="AG71" s="2">
        <v>0</v>
      </c>
      <c r="AH71" s="2">
        <v>0</v>
      </c>
      <c r="AI71" s="2">
        <v>0</v>
      </c>
      <c r="AJ71" s="2">
        <v>0</v>
      </c>
      <c r="AK71" s="2">
        <v>0</v>
      </c>
      <c r="AL71" s="2">
        <v>0</v>
      </c>
      <c r="AM71" s="2">
        <v>0</v>
      </c>
      <c r="AN71" s="2">
        <v>0</v>
      </c>
      <c r="AO71" s="2">
        <v>0</v>
      </c>
      <c r="AP71" s="2">
        <v>0</v>
      </c>
      <c r="AS71" s="125">
        <v>44230</v>
      </c>
      <c r="AT71" s="2">
        <v>48</v>
      </c>
      <c r="BZ71" s="2"/>
      <c r="CA71" s="19" t="s">
        <v>121</v>
      </c>
      <c r="CB71" s="2">
        <v>0</v>
      </c>
      <c r="CC71" s="2">
        <v>0</v>
      </c>
      <c r="CD71" s="2">
        <v>0</v>
      </c>
      <c r="CE71" s="2">
        <v>0</v>
      </c>
      <c r="CF71" s="2">
        <v>0</v>
      </c>
      <c r="CG71" s="2">
        <v>0</v>
      </c>
      <c r="CH71" s="2">
        <v>0</v>
      </c>
      <c r="CI71" s="2">
        <v>0</v>
      </c>
      <c r="CJ71" s="2">
        <v>0</v>
      </c>
      <c r="CK71" s="2">
        <v>0</v>
      </c>
      <c r="CL71" s="2">
        <v>0</v>
      </c>
      <c r="CM71" s="2">
        <v>0</v>
      </c>
      <c r="CN71" s="2">
        <v>0</v>
      </c>
      <c r="CP71" s="2"/>
      <c r="CR71" s="125">
        <v>44230</v>
      </c>
      <c r="CS71" s="2">
        <v>27</v>
      </c>
    </row>
    <row r="72" spans="29:97" x14ac:dyDescent="0.35">
      <c r="AC72" s="19" t="s">
        <v>122</v>
      </c>
      <c r="AD72" s="2">
        <v>0</v>
      </c>
      <c r="AE72" s="2">
        <v>0</v>
      </c>
      <c r="AF72" s="2">
        <v>0</v>
      </c>
      <c r="AG72" s="2">
        <v>0</v>
      </c>
      <c r="AH72" s="2">
        <v>0</v>
      </c>
      <c r="AI72" s="2">
        <v>0</v>
      </c>
      <c r="AJ72" s="2">
        <v>0</v>
      </c>
      <c r="AK72" s="2">
        <v>0</v>
      </c>
      <c r="AL72" s="2">
        <v>0</v>
      </c>
      <c r="AM72" s="2">
        <v>0</v>
      </c>
      <c r="AN72" s="2">
        <v>0</v>
      </c>
      <c r="AO72" s="2">
        <v>0</v>
      </c>
      <c r="AP72" s="2">
        <v>4</v>
      </c>
      <c r="AS72" s="125">
        <v>44231</v>
      </c>
      <c r="AT72" s="2">
        <v>31</v>
      </c>
      <c r="BZ72" s="2"/>
      <c r="CA72" s="19" t="s">
        <v>122</v>
      </c>
      <c r="CB72" s="2">
        <v>0</v>
      </c>
      <c r="CC72" s="2">
        <v>0</v>
      </c>
      <c r="CD72" s="2">
        <v>0</v>
      </c>
      <c r="CE72" s="2">
        <v>0</v>
      </c>
      <c r="CF72" s="2">
        <v>0</v>
      </c>
      <c r="CG72" s="2">
        <v>0</v>
      </c>
      <c r="CH72" s="2">
        <v>0</v>
      </c>
      <c r="CI72" s="2">
        <v>0</v>
      </c>
      <c r="CJ72" s="2">
        <v>0</v>
      </c>
      <c r="CK72" s="2">
        <v>0</v>
      </c>
      <c r="CL72" s="2">
        <v>0</v>
      </c>
      <c r="CM72" s="2">
        <v>0</v>
      </c>
      <c r="CN72" s="2">
        <v>0</v>
      </c>
      <c r="CP72" s="2"/>
      <c r="CR72" s="125">
        <v>44231</v>
      </c>
      <c r="CS72" s="2">
        <v>14</v>
      </c>
    </row>
    <row r="73" spans="29:97" x14ac:dyDescent="0.35">
      <c r="AC73" s="19" t="s">
        <v>123</v>
      </c>
      <c r="AD73" s="2">
        <v>0</v>
      </c>
      <c r="AE73" s="2">
        <v>0</v>
      </c>
      <c r="AF73" s="2">
        <v>0</v>
      </c>
      <c r="AG73" s="2">
        <v>0</v>
      </c>
      <c r="AH73" s="2">
        <v>0</v>
      </c>
      <c r="AI73" s="2">
        <v>0</v>
      </c>
      <c r="AJ73" s="2">
        <v>0</v>
      </c>
      <c r="AK73" s="2">
        <v>0</v>
      </c>
      <c r="AL73" s="2">
        <v>0</v>
      </c>
      <c r="AM73" s="2">
        <v>0</v>
      </c>
      <c r="AN73" s="2">
        <v>0</v>
      </c>
      <c r="AO73" s="2">
        <v>0</v>
      </c>
      <c r="AP73" s="2">
        <v>0</v>
      </c>
      <c r="AS73" s="125">
        <v>44232</v>
      </c>
      <c r="AT73" s="2">
        <v>17</v>
      </c>
      <c r="BZ73" s="2"/>
      <c r="CA73" s="19" t="s">
        <v>123</v>
      </c>
      <c r="CB73" s="2">
        <v>0</v>
      </c>
      <c r="CC73" s="2">
        <v>0</v>
      </c>
      <c r="CD73" s="2">
        <v>0</v>
      </c>
      <c r="CE73" s="2">
        <v>0</v>
      </c>
      <c r="CF73" s="2">
        <v>0</v>
      </c>
      <c r="CG73" s="2">
        <v>0</v>
      </c>
      <c r="CH73" s="2">
        <v>0</v>
      </c>
      <c r="CI73" s="2">
        <v>0</v>
      </c>
      <c r="CJ73" s="2">
        <v>0</v>
      </c>
      <c r="CK73" s="2">
        <v>0</v>
      </c>
      <c r="CL73" s="2">
        <v>0</v>
      </c>
      <c r="CM73" s="2">
        <v>0</v>
      </c>
      <c r="CN73" s="2">
        <v>0</v>
      </c>
      <c r="CP73" s="2"/>
      <c r="CR73" s="125">
        <v>44232</v>
      </c>
      <c r="CS73" s="2">
        <v>9</v>
      </c>
    </row>
    <row r="74" spans="29:97" x14ac:dyDescent="0.35">
      <c r="AC74" s="19" t="s">
        <v>124</v>
      </c>
      <c r="AD74" s="2">
        <v>0</v>
      </c>
      <c r="AE74" s="2">
        <v>0</v>
      </c>
      <c r="AF74" s="2">
        <v>0</v>
      </c>
      <c r="AG74" s="2">
        <v>0</v>
      </c>
      <c r="AH74" s="2">
        <v>0</v>
      </c>
      <c r="AI74" s="2">
        <v>0</v>
      </c>
      <c r="AJ74" s="2">
        <v>0</v>
      </c>
      <c r="AK74" s="2">
        <v>0</v>
      </c>
      <c r="AL74" s="2">
        <v>0</v>
      </c>
      <c r="AM74" s="2">
        <v>0</v>
      </c>
      <c r="AN74" s="2">
        <v>0</v>
      </c>
      <c r="AO74" s="2">
        <v>0</v>
      </c>
      <c r="AP74" s="2">
        <v>0</v>
      </c>
      <c r="AS74" s="125">
        <v>44233</v>
      </c>
      <c r="AT74" s="2">
        <v>42</v>
      </c>
      <c r="BZ74" s="2"/>
      <c r="CA74" s="19" t="s">
        <v>124</v>
      </c>
      <c r="CB74" s="2">
        <v>0</v>
      </c>
      <c r="CC74" s="2">
        <v>0</v>
      </c>
      <c r="CD74" s="2">
        <v>0</v>
      </c>
      <c r="CE74" s="2">
        <v>0</v>
      </c>
      <c r="CF74" s="2">
        <v>0</v>
      </c>
      <c r="CG74" s="2">
        <v>0</v>
      </c>
      <c r="CH74" s="2">
        <v>0</v>
      </c>
      <c r="CI74" s="2">
        <v>0</v>
      </c>
      <c r="CJ74" s="2">
        <v>0</v>
      </c>
      <c r="CK74" s="2">
        <v>0</v>
      </c>
      <c r="CL74" s="2">
        <v>0</v>
      </c>
      <c r="CM74" s="2">
        <v>0</v>
      </c>
      <c r="CN74" s="2">
        <v>0</v>
      </c>
      <c r="CP74" s="2"/>
      <c r="CR74" s="125">
        <v>44233</v>
      </c>
      <c r="CS74" s="2">
        <v>15</v>
      </c>
    </row>
    <row r="75" spans="29:97" x14ac:dyDescent="0.35">
      <c r="AC75" s="19" t="s">
        <v>125</v>
      </c>
      <c r="AD75" s="2">
        <v>0</v>
      </c>
      <c r="AE75" s="2">
        <v>0</v>
      </c>
      <c r="AF75" s="2">
        <v>0</v>
      </c>
      <c r="AG75" s="2">
        <v>0</v>
      </c>
      <c r="AH75" s="2">
        <v>0</v>
      </c>
      <c r="AI75" s="2">
        <v>0</v>
      </c>
      <c r="AJ75" s="2">
        <v>0</v>
      </c>
      <c r="AK75" s="2">
        <v>0</v>
      </c>
      <c r="AL75" s="2">
        <v>0</v>
      </c>
      <c r="AM75" s="2">
        <v>0</v>
      </c>
      <c r="AN75" s="2">
        <v>0</v>
      </c>
      <c r="AO75" s="2">
        <v>0</v>
      </c>
      <c r="AP75" s="2">
        <v>0</v>
      </c>
      <c r="AS75" s="125">
        <v>44234</v>
      </c>
      <c r="AT75" s="2">
        <v>27</v>
      </c>
      <c r="BZ75" s="2"/>
      <c r="CA75" s="19" t="s">
        <v>125</v>
      </c>
      <c r="CB75" s="2">
        <v>0</v>
      </c>
      <c r="CC75" s="2">
        <v>0</v>
      </c>
      <c r="CD75" s="2">
        <v>0</v>
      </c>
      <c r="CE75" s="2">
        <v>0</v>
      </c>
      <c r="CF75" s="2">
        <v>0</v>
      </c>
      <c r="CG75" s="2">
        <v>0</v>
      </c>
      <c r="CH75" s="2">
        <v>0</v>
      </c>
      <c r="CI75" s="2">
        <v>0</v>
      </c>
      <c r="CJ75" s="2">
        <v>0</v>
      </c>
      <c r="CK75" s="2">
        <v>0</v>
      </c>
      <c r="CL75" s="2">
        <v>0</v>
      </c>
      <c r="CM75" s="2">
        <v>0</v>
      </c>
      <c r="CN75" s="2">
        <v>0</v>
      </c>
      <c r="CP75" s="2"/>
      <c r="CR75" s="125">
        <v>44234</v>
      </c>
      <c r="CS75" s="2">
        <v>9</v>
      </c>
    </row>
    <row r="76" spans="29:97" x14ac:dyDescent="0.35">
      <c r="AC76" s="19" t="s">
        <v>126</v>
      </c>
      <c r="AD76" s="2">
        <v>0</v>
      </c>
      <c r="AE76" s="2">
        <v>0</v>
      </c>
      <c r="AF76" s="2">
        <v>0</v>
      </c>
      <c r="AG76" s="2">
        <v>0</v>
      </c>
      <c r="AH76" s="2">
        <v>0</v>
      </c>
      <c r="AI76" s="2">
        <v>0</v>
      </c>
      <c r="AJ76" s="2">
        <v>0</v>
      </c>
      <c r="AK76" s="2">
        <v>0</v>
      </c>
      <c r="AL76" s="2">
        <v>0</v>
      </c>
      <c r="AM76" s="2">
        <v>0</v>
      </c>
      <c r="AN76" s="2">
        <v>0</v>
      </c>
      <c r="AO76" s="2">
        <v>0</v>
      </c>
      <c r="AP76" s="2">
        <v>0</v>
      </c>
      <c r="AS76" s="125">
        <v>44235</v>
      </c>
      <c r="AT76" s="2">
        <v>26</v>
      </c>
      <c r="BZ76" s="2"/>
      <c r="CA76" s="19" t="s">
        <v>126</v>
      </c>
      <c r="CB76" s="2">
        <v>0</v>
      </c>
      <c r="CC76" s="2">
        <v>0</v>
      </c>
      <c r="CD76" s="2">
        <v>0</v>
      </c>
      <c r="CE76" s="2">
        <v>0</v>
      </c>
      <c r="CF76" s="2">
        <v>0</v>
      </c>
      <c r="CG76" s="2">
        <v>0</v>
      </c>
      <c r="CH76" s="2">
        <v>0</v>
      </c>
      <c r="CI76" s="2">
        <v>0</v>
      </c>
      <c r="CJ76" s="2">
        <v>0</v>
      </c>
      <c r="CK76" s="2">
        <v>0</v>
      </c>
      <c r="CL76" s="2">
        <v>0</v>
      </c>
      <c r="CM76" s="2">
        <v>0</v>
      </c>
      <c r="CN76" s="2">
        <v>0</v>
      </c>
      <c r="CP76" s="2"/>
      <c r="CR76" s="125">
        <v>44235</v>
      </c>
      <c r="CS76" s="2">
        <v>11</v>
      </c>
    </row>
    <row r="77" spans="29:97" x14ac:dyDescent="0.35">
      <c r="AC77" s="19" t="s">
        <v>127</v>
      </c>
      <c r="AD77" s="2">
        <v>0</v>
      </c>
      <c r="AE77" s="2">
        <v>0</v>
      </c>
      <c r="AF77" s="2">
        <v>0</v>
      </c>
      <c r="AG77" s="2">
        <v>0</v>
      </c>
      <c r="AH77" s="2">
        <v>0</v>
      </c>
      <c r="AI77" s="2">
        <v>0</v>
      </c>
      <c r="AJ77" s="2">
        <v>0</v>
      </c>
      <c r="AK77" s="2">
        <v>0</v>
      </c>
      <c r="AL77" s="2">
        <v>0</v>
      </c>
      <c r="AM77" s="2">
        <v>0</v>
      </c>
      <c r="AN77" s="2">
        <v>0</v>
      </c>
      <c r="AO77" s="2">
        <v>0</v>
      </c>
      <c r="AP77" s="2">
        <v>0</v>
      </c>
      <c r="AS77" s="125">
        <v>44236</v>
      </c>
      <c r="AT77" s="2">
        <v>45</v>
      </c>
      <c r="BZ77" s="2"/>
      <c r="CA77" s="19" t="s">
        <v>127</v>
      </c>
      <c r="CB77" s="2">
        <v>0</v>
      </c>
      <c r="CC77" s="2">
        <v>0</v>
      </c>
      <c r="CD77" s="2">
        <v>0</v>
      </c>
      <c r="CE77" s="2">
        <v>0</v>
      </c>
      <c r="CF77" s="2">
        <v>0</v>
      </c>
      <c r="CG77" s="2">
        <v>0</v>
      </c>
      <c r="CH77" s="2">
        <v>0</v>
      </c>
      <c r="CI77" s="2">
        <v>0</v>
      </c>
      <c r="CJ77" s="2">
        <v>0</v>
      </c>
      <c r="CK77" s="2">
        <v>0</v>
      </c>
      <c r="CL77" s="2">
        <v>0</v>
      </c>
      <c r="CM77" s="2">
        <v>0</v>
      </c>
      <c r="CN77" s="2">
        <v>0</v>
      </c>
      <c r="CP77" s="2"/>
      <c r="CR77" s="125">
        <v>44236</v>
      </c>
      <c r="CS77" s="2">
        <v>29</v>
      </c>
    </row>
    <row r="78" spans="29:97" x14ac:dyDescent="0.35">
      <c r="AC78" s="19" t="s">
        <v>433</v>
      </c>
      <c r="AD78" s="2">
        <v>0</v>
      </c>
      <c r="AE78" s="2">
        <v>0</v>
      </c>
      <c r="AF78" s="2">
        <v>0</v>
      </c>
      <c r="AG78" s="2">
        <v>0</v>
      </c>
      <c r="AH78" s="2">
        <v>0</v>
      </c>
      <c r="AI78" s="2">
        <v>0</v>
      </c>
      <c r="AJ78" s="2">
        <v>0</v>
      </c>
      <c r="AK78" s="2">
        <v>0</v>
      </c>
      <c r="AL78" s="2">
        <v>0</v>
      </c>
      <c r="AM78" s="2">
        <v>0</v>
      </c>
      <c r="AN78" s="2">
        <v>0</v>
      </c>
      <c r="AO78" s="2">
        <v>0</v>
      </c>
      <c r="AP78" s="2">
        <v>0</v>
      </c>
      <c r="AS78" s="125">
        <v>44237</v>
      </c>
      <c r="AT78" s="2">
        <v>25</v>
      </c>
      <c r="BZ78" s="2"/>
      <c r="CA78" s="19" t="s">
        <v>433</v>
      </c>
      <c r="CB78" s="2">
        <v>0</v>
      </c>
      <c r="CC78" s="2">
        <v>0</v>
      </c>
      <c r="CD78" s="2">
        <v>0</v>
      </c>
      <c r="CE78" s="2">
        <v>0</v>
      </c>
      <c r="CF78" s="2">
        <v>0</v>
      </c>
      <c r="CG78" s="2">
        <v>0</v>
      </c>
      <c r="CH78" s="2">
        <v>0</v>
      </c>
      <c r="CI78" s="2">
        <v>0</v>
      </c>
      <c r="CJ78" s="2">
        <v>0</v>
      </c>
      <c r="CK78" s="2">
        <v>0</v>
      </c>
      <c r="CL78" s="2">
        <v>0</v>
      </c>
      <c r="CM78" s="2">
        <v>0</v>
      </c>
      <c r="CN78" s="2">
        <v>0</v>
      </c>
      <c r="CP78" s="2"/>
      <c r="CR78" s="125">
        <v>44237</v>
      </c>
      <c r="CS78" s="2">
        <v>12</v>
      </c>
    </row>
    <row r="79" spans="29:97" x14ac:dyDescent="0.35">
      <c r="AC79" s="19" t="s">
        <v>128</v>
      </c>
      <c r="AD79" s="2">
        <v>0</v>
      </c>
      <c r="AE79" s="2">
        <v>0</v>
      </c>
      <c r="AF79" s="2">
        <v>0</v>
      </c>
      <c r="AG79" s="2">
        <v>0</v>
      </c>
      <c r="AH79" s="2">
        <v>0</v>
      </c>
      <c r="AI79" s="2">
        <v>0</v>
      </c>
      <c r="AJ79" s="2">
        <v>0</v>
      </c>
      <c r="AK79" s="2">
        <v>0</v>
      </c>
      <c r="AL79" s="2">
        <v>0</v>
      </c>
      <c r="AM79" s="2">
        <v>0</v>
      </c>
      <c r="AN79" s="2">
        <v>0</v>
      </c>
      <c r="AO79" s="2">
        <v>0</v>
      </c>
      <c r="AP79" s="2">
        <v>0</v>
      </c>
      <c r="AS79" s="125">
        <v>44238</v>
      </c>
      <c r="AT79" s="2">
        <v>21</v>
      </c>
      <c r="BZ79" s="2"/>
      <c r="CA79" s="19" t="s">
        <v>128</v>
      </c>
      <c r="CB79" s="2">
        <v>0</v>
      </c>
      <c r="CC79" s="2">
        <v>0</v>
      </c>
      <c r="CD79" s="2">
        <v>0</v>
      </c>
      <c r="CE79" s="2">
        <v>0</v>
      </c>
      <c r="CF79" s="2">
        <v>0</v>
      </c>
      <c r="CG79" s="2">
        <v>0</v>
      </c>
      <c r="CH79" s="2">
        <v>0</v>
      </c>
      <c r="CI79" s="2">
        <v>0</v>
      </c>
      <c r="CJ79" s="2">
        <v>0</v>
      </c>
      <c r="CK79" s="2">
        <v>0</v>
      </c>
      <c r="CL79" s="2">
        <v>0</v>
      </c>
      <c r="CM79" s="2">
        <v>0</v>
      </c>
      <c r="CN79" s="2">
        <v>0</v>
      </c>
      <c r="CP79" s="2"/>
      <c r="CR79" s="125">
        <v>44238</v>
      </c>
      <c r="CS79" s="2">
        <v>9</v>
      </c>
    </row>
    <row r="80" spans="29:97" x14ac:dyDescent="0.35">
      <c r="AC80" s="19" t="s">
        <v>129</v>
      </c>
      <c r="AD80" s="2">
        <v>0</v>
      </c>
      <c r="AE80" s="2">
        <v>0</v>
      </c>
      <c r="AF80" s="2">
        <v>28</v>
      </c>
      <c r="AG80" s="2">
        <v>0</v>
      </c>
      <c r="AH80" s="2">
        <v>0</v>
      </c>
      <c r="AI80" s="2">
        <v>0</v>
      </c>
      <c r="AJ80" s="2">
        <v>0</v>
      </c>
      <c r="AK80" s="2">
        <v>0</v>
      </c>
      <c r="AL80" s="2">
        <v>0</v>
      </c>
      <c r="AM80" s="2">
        <v>0</v>
      </c>
      <c r="AN80" s="2">
        <v>0</v>
      </c>
      <c r="AO80" s="2">
        <v>0</v>
      </c>
      <c r="AP80" s="2">
        <v>0</v>
      </c>
      <c r="AS80" s="125">
        <v>44239</v>
      </c>
      <c r="AT80" s="2">
        <v>14</v>
      </c>
      <c r="BZ80" s="2"/>
      <c r="CA80" s="19" t="s">
        <v>129</v>
      </c>
      <c r="CB80" s="2">
        <v>0</v>
      </c>
      <c r="CC80" s="2">
        <v>0</v>
      </c>
      <c r="CD80" s="2">
        <v>0</v>
      </c>
      <c r="CE80" s="2">
        <v>0</v>
      </c>
      <c r="CF80" s="2">
        <v>0</v>
      </c>
      <c r="CG80" s="2">
        <v>0</v>
      </c>
      <c r="CH80" s="2">
        <v>28</v>
      </c>
      <c r="CI80" s="2">
        <v>0</v>
      </c>
      <c r="CJ80" s="2">
        <v>0</v>
      </c>
      <c r="CK80" s="2">
        <v>0</v>
      </c>
      <c r="CL80" s="2">
        <v>0</v>
      </c>
      <c r="CM80" s="2">
        <v>0</v>
      </c>
      <c r="CN80" s="2">
        <v>0</v>
      </c>
      <c r="CP80" s="2"/>
      <c r="CR80" s="125">
        <v>44239</v>
      </c>
      <c r="CS80" s="2">
        <v>6</v>
      </c>
    </row>
    <row r="81" spans="29:97" x14ac:dyDescent="0.35">
      <c r="AC81" s="19" t="s">
        <v>130</v>
      </c>
      <c r="AD81" s="2">
        <v>0</v>
      </c>
      <c r="AE81" s="2">
        <v>0</v>
      </c>
      <c r="AF81" s="2">
        <v>0</v>
      </c>
      <c r="AG81" s="2">
        <v>0</v>
      </c>
      <c r="AH81" s="2">
        <v>0</v>
      </c>
      <c r="AI81" s="2">
        <v>0</v>
      </c>
      <c r="AJ81" s="2">
        <v>0</v>
      </c>
      <c r="AK81" s="2">
        <v>0</v>
      </c>
      <c r="AL81" s="2">
        <v>0</v>
      </c>
      <c r="AM81" s="2">
        <v>0</v>
      </c>
      <c r="AN81" s="2">
        <v>0</v>
      </c>
      <c r="AO81" s="2">
        <v>0</v>
      </c>
      <c r="AP81" s="2">
        <v>0</v>
      </c>
      <c r="AS81" s="125">
        <v>44240</v>
      </c>
      <c r="AT81" s="2">
        <v>14</v>
      </c>
      <c r="BZ81" s="2"/>
      <c r="CA81" s="19" t="s">
        <v>130</v>
      </c>
      <c r="CB81" s="2">
        <v>0</v>
      </c>
      <c r="CC81" s="2">
        <v>0</v>
      </c>
      <c r="CD81" s="2">
        <v>0</v>
      </c>
      <c r="CE81" s="2">
        <v>0</v>
      </c>
      <c r="CF81" s="2">
        <v>0</v>
      </c>
      <c r="CG81" s="2">
        <v>0</v>
      </c>
      <c r="CH81" s="2">
        <v>0</v>
      </c>
      <c r="CI81" s="2">
        <v>0</v>
      </c>
      <c r="CJ81" s="2">
        <v>0</v>
      </c>
      <c r="CK81" s="2">
        <v>0</v>
      </c>
      <c r="CL81" s="2">
        <v>0</v>
      </c>
      <c r="CM81" s="2">
        <v>0</v>
      </c>
      <c r="CN81" s="2">
        <v>0</v>
      </c>
      <c r="CP81" s="2"/>
      <c r="CR81" s="125">
        <v>44240</v>
      </c>
      <c r="CS81" s="2">
        <v>7</v>
      </c>
    </row>
    <row r="82" spans="29:97" x14ac:dyDescent="0.35">
      <c r="AC82" s="19" t="s">
        <v>131</v>
      </c>
      <c r="AD82" s="2">
        <v>0</v>
      </c>
      <c r="AE82" s="2">
        <v>0</v>
      </c>
      <c r="AF82" s="2">
        <v>0</v>
      </c>
      <c r="AG82" s="2">
        <v>0</v>
      </c>
      <c r="AH82" s="2">
        <v>0</v>
      </c>
      <c r="AI82" s="2">
        <v>0</v>
      </c>
      <c r="AJ82" s="2">
        <v>0</v>
      </c>
      <c r="AK82" s="2">
        <v>0</v>
      </c>
      <c r="AL82" s="2">
        <v>0</v>
      </c>
      <c r="AM82" s="2">
        <v>0</v>
      </c>
      <c r="AN82" s="2">
        <v>0</v>
      </c>
      <c r="AO82" s="2">
        <v>0</v>
      </c>
      <c r="AP82" s="2">
        <v>0</v>
      </c>
      <c r="AS82" s="125">
        <v>44241</v>
      </c>
      <c r="AT82" s="2">
        <v>42</v>
      </c>
      <c r="BZ82" s="2"/>
      <c r="CA82" s="19" t="s">
        <v>131</v>
      </c>
      <c r="CB82" s="2">
        <v>0</v>
      </c>
      <c r="CC82" s="2">
        <v>0</v>
      </c>
      <c r="CD82" s="2">
        <v>0</v>
      </c>
      <c r="CE82" s="2">
        <v>0</v>
      </c>
      <c r="CF82" s="2">
        <v>0</v>
      </c>
      <c r="CG82" s="2">
        <v>0</v>
      </c>
      <c r="CH82" s="2">
        <v>0</v>
      </c>
      <c r="CI82" s="2">
        <v>0</v>
      </c>
      <c r="CJ82" s="2">
        <v>0</v>
      </c>
      <c r="CK82" s="2">
        <v>0</v>
      </c>
      <c r="CL82" s="2">
        <v>0</v>
      </c>
      <c r="CM82" s="2">
        <v>0</v>
      </c>
      <c r="CN82" s="2">
        <v>0</v>
      </c>
      <c r="CP82" s="2"/>
      <c r="CR82" s="125">
        <v>44241</v>
      </c>
      <c r="CS82" s="2">
        <v>10</v>
      </c>
    </row>
    <row r="83" spans="29:97" x14ac:dyDescent="0.35">
      <c r="AC83" s="19" t="s">
        <v>262</v>
      </c>
      <c r="AD83" s="2">
        <v>6</v>
      </c>
      <c r="AE83" s="2">
        <v>0</v>
      </c>
      <c r="AF83" s="2">
        <v>16</v>
      </c>
      <c r="AG83" s="2">
        <v>0</v>
      </c>
      <c r="AH83" s="2">
        <v>0</v>
      </c>
      <c r="AI83" s="2">
        <v>0</v>
      </c>
      <c r="AJ83" s="2">
        <v>0</v>
      </c>
      <c r="AK83" s="2">
        <v>0</v>
      </c>
      <c r="AL83" s="2">
        <v>0</v>
      </c>
      <c r="AM83" s="2">
        <v>0</v>
      </c>
      <c r="AN83" s="2">
        <v>0</v>
      </c>
      <c r="AO83" s="2">
        <v>0</v>
      </c>
      <c r="AP83" s="2">
        <v>0</v>
      </c>
      <c r="AS83" s="125">
        <v>44242</v>
      </c>
      <c r="AT83" s="2">
        <v>27</v>
      </c>
      <c r="BZ83" s="2"/>
      <c r="CA83" s="19" t="s">
        <v>262</v>
      </c>
      <c r="CB83" s="2">
        <v>5</v>
      </c>
      <c r="CC83" s="2">
        <v>0</v>
      </c>
      <c r="CD83" s="2">
        <v>0</v>
      </c>
      <c r="CE83" s="2">
        <v>0</v>
      </c>
      <c r="CF83" s="2">
        <v>0</v>
      </c>
      <c r="CG83" s="2">
        <v>0</v>
      </c>
      <c r="CH83" s="2">
        <v>6</v>
      </c>
      <c r="CI83" s="2">
        <v>0</v>
      </c>
      <c r="CJ83" s="2">
        <v>0</v>
      </c>
      <c r="CK83" s="2">
        <v>0</v>
      </c>
      <c r="CL83" s="2">
        <v>0</v>
      </c>
      <c r="CM83" s="2">
        <v>0</v>
      </c>
      <c r="CN83" s="2">
        <v>0</v>
      </c>
      <c r="CP83" s="2"/>
      <c r="CR83" s="125">
        <v>44242</v>
      </c>
      <c r="CS83" s="2">
        <v>9</v>
      </c>
    </row>
    <row r="84" spans="29:97" x14ac:dyDescent="0.35">
      <c r="AC84" s="19" t="s">
        <v>132</v>
      </c>
      <c r="AD84" s="2">
        <v>0</v>
      </c>
      <c r="AE84" s="2">
        <v>0</v>
      </c>
      <c r="AF84" s="2">
        <v>0</v>
      </c>
      <c r="AG84" s="2">
        <v>0</v>
      </c>
      <c r="AH84" s="2">
        <v>0</v>
      </c>
      <c r="AI84" s="2">
        <v>0</v>
      </c>
      <c r="AJ84" s="2">
        <v>0</v>
      </c>
      <c r="AK84" s="2">
        <v>0</v>
      </c>
      <c r="AL84" s="2">
        <v>0</v>
      </c>
      <c r="AM84" s="2">
        <v>0</v>
      </c>
      <c r="AN84" s="2">
        <v>0</v>
      </c>
      <c r="AO84" s="2">
        <v>0</v>
      </c>
      <c r="AP84" s="2">
        <v>0</v>
      </c>
      <c r="AS84" s="125">
        <v>44243</v>
      </c>
      <c r="AT84" s="2">
        <v>42</v>
      </c>
      <c r="BZ84" s="2"/>
      <c r="CA84" s="19" t="s">
        <v>132</v>
      </c>
      <c r="CB84" s="2">
        <v>0</v>
      </c>
      <c r="CC84" s="2">
        <v>0</v>
      </c>
      <c r="CD84" s="2">
        <v>0</v>
      </c>
      <c r="CE84" s="2">
        <v>0</v>
      </c>
      <c r="CF84" s="2">
        <v>0</v>
      </c>
      <c r="CG84" s="2">
        <v>0</v>
      </c>
      <c r="CH84" s="2">
        <v>0</v>
      </c>
      <c r="CI84" s="2">
        <v>0</v>
      </c>
      <c r="CJ84" s="2">
        <v>0</v>
      </c>
      <c r="CK84" s="2">
        <v>0</v>
      </c>
      <c r="CL84" s="2">
        <v>0</v>
      </c>
      <c r="CM84" s="2">
        <v>0</v>
      </c>
      <c r="CN84" s="2">
        <v>0</v>
      </c>
      <c r="CP84" s="2"/>
      <c r="CR84" s="125">
        <v>44243</v>
      </c>
      <c r="CS84" s="2">
        <v>16</v>
      </c>
    </row>
    <row r="85" spans="29:97" x14ac:dyDescent="0.35">
      <c r="AC85" s="19" t="s">
        <v>133</v>
      </c>
      <c r="AD85" s="2">
        <v>0</v>
      </c>
      <c r="AE85" s="2">
        <v>0</v>
      </c>
      <c r="AF85" s="2">
        <v>0</v>
      </c>
      <c r="AG85" s="2">
        <v>0</v>
      </c>
      <c r="AH85" s="2">
        <v>0</v>
      </c>
      <c r="AI85" s="2">
        <v>0</v>
      </c>
      <c r="AJ85" s="2">
        <v>0</v>
      </c>
      <c r="AK85" s="2">
        <v>0</v>
      </c>
      <c r="AL85" s="2">
        <v>0</v>
      </c>
      <c r="AM85" s="2">
        <v>0</v>
      </c>
      <c r="AN85" s="2">
        <v>0</v>
      </c>
      <c r="AO85" s="2">
        <v>0</v>
      </c>
      <c r="AP85" s="2">
        <v>0</v>
      </c>
      <c r="AS85" s="125">
        <v>44244</v>
      </c>
      <c r="AT85" s="2">
        <v>13</v>
      </c>
      <c r="BZ85" s="2"/>
      <c r="CA85" s="19" t="s">
        <v>133</v>
      </c>
      <c r="CB85" s="2">
        <v>0</v>
      </c>
      <c r="CC85" s="2">
        <v>0</v>
      </c>
      <c r="CD85" s="2">
        <v>0</v>
      </c>
      <c r="CE85" s="2">
        <v>0</v>
      </c>
      <c r="CF85" s="2">
        <v>0</v>
      </c>
      <c r="CG85" s="2">
        <v>0</v>
      </c>
      <c r="CH85" s="2">
        <v>0</v>
      </c>
      <c r="CI85" s="2">
        <v>0</v>
      </c>
      <c r="CJ85" s="2">
        <v>0</v>
      </c>
      <c r="CK85" s="2">
        <v>0</v>
      </c>
      <c r="CL85" s="2">
        <v>0</v>
      </c>
      <c r="CM85" s="2">
        <v>0</v>
      </c>
      <c r="CN85" s="2">
        <v>0</v>
      </c>
      <c r="CP85" s="2"/>
      <c r="CR85" s="125">
        <v>44244</v>
      </c>
      <c r="CS85" s="2">
        <v>7</v>
      </c>
    </row>
    <row r="86" spans="29:97" x14ac:dyDescent="0.35">
      <c r="AC86" s="19" t="s">
        <v>134</v>
      </c>
      <c r="AD86" s="2">
        <v>0</v>
      </c>
      <c r="AE86" s="2">
        <v>24</v>
      </c>
      <c r="AF86" s="2">
        <v>18</v>
      </c>
      <c r="AG86" s="2">
        <v>0</v>
      </c>
      <c r="AH86" s="2">
        <v>0</v>
      </c>
      <c r="AI86" s="2">
        <v>0</v>
      </c>
      <c r="AJ86" s="2">
        <v>0</v>
      </c>
      <c r="AK86" s="2">
        <v>0</v>
      </c>
      <c r="AL86" s="2">
        <v>0</v>
      </c>
      <c r="AM86" s="2">
        <v>0</v>
      </c>
      <c r="AN86" s="2">
        <v>0</v>
      </c>
      <c r="AO86" s="2">
        <v>0</v>
      </c>
      <c r="AP86" s="2">
        <v>24</v>
      </c>
      <c r="AS86" s="125">
        <v>44245</v>
      </c>
      <c r="AT86" s="2">
        <v>17</v>
      </c>
      <c r="BZ86" s="2"/>
      <c r="CA86" s="19" t="s">
        <v>134</v>
      </c>
      <c r="CB86" s="2">
        <v>0</v>
      </c>
      <c r="CC86" s="2">
        <v>0</v>
      </c>
      <c r="CD86" s="2">
        <v>0</v>
      </c>
      <c r="CE86" s="2">
        <v>0</v>
      </c>
      <c r="CF86" s="2">
        <v>5</v>
      </c>
      <c r="CG86" s="2">
        <v>2</v>
      </c>
      <c r="CH86" s="2">
        <v>2</v>
      </c>
      <c r="CI86" s="2">
        <v>0</v>
      </c>
      <c r="CJ86" s="2">
        <v>0</v>
      </c>
      <c r="CK86" s="2">
        <v>0</v>
      </c>
      <c r="CL86" s="2">
        <v>0</v>
      </c>
      <c r="CM86" s="2">
        <v>0</v>
      </c>
      <c r="CN86" s="2">
        <v>0</v>
      </c>
      <c r="CP86" s="2"/>
      <c r="CR86" s="125">
        <v>44245</v>
      </c>
      <c r="CS86" s="2">
        <v>8</v>
      </c>
    </row>
    <row r="87" spans="29:97" x14ac:dyDescent="0.35">
      <c r="AC87" s="19" t="s">
        <v>135</v>
      </c>
      <c r="AD87" s="2">
        <v>36</v>
      </c>
      <c r="AE87" s="2">
        <v>0</v>
      </c>
      <c r="AF87" s="2">
        <v>0</v>
      </c>
      <c r="AG87" s="2">
        <v>0</v>
      </c>
      <c r="AH87" s="2">
        <v>0</v>
      </c>
      <c r="AI87" s="2">
        <v>0</v>
      </c>
      <c r="AJ87" s="2">
        <v>0</v>
      </c>
      <c r="AK87" s="2">
        <v>0</v>
      </c>
      <c r="AL87" s="2">
        <v>0</v>
      </c>
      <c r="AM87" s="2">
        <v>0</v>
      </c>
      <c r="AN87" s="2">
        <v>0</v>
      </c>
      <c r="AO87" s="2">
        <v>0</v>
      </c>
      <c r="AP87" s="2">
        <v>0</v>
      </c>
      <c r="AS87" s="125">
        <v>44246</v>
      </c>
      <c r="AT87" s="2">
        <v>25</v>
      </c>
      <c r="BZ87" s="2"/>
      <c r="CA87" s="19" t="s">
        <v>135</v>
      </c>
      <c r="CB87" s="2">
        <v>36</v>
      </c>
      <c r="CC87" s="2">
        <v>0</v>
      </c>
      <c r="CD87" s="2">
        <v>0</v>
      </c>
      <c r="CE87" s="2">
        <v>0</v>
      </c>
      <c r="CF87" s="2">
        <v>0</v>
      </c>
      <c r="CG87" s="2">
        <v>0</v>
      </c>
      <c r="CH87" s="2">
        <v>0</v>
      </c>
      <c r="CI87" s="2">
        <v>0</v>
      </c>
      <c r="CJ87" s="2">
        <v>0</v>
      </c>
      <c r="CK87" s="2">
        <v>0</v>
      </c>
      <c r="CL87" s="2">
        <v>0</v>
      </c>
      <c r="CM87" s="2">
        <v>0</v>
      </c>
      <c r="CN87" s="2">
        <v>0</v>
      </c>
      <c r="CP87" s="2"/>
      <c r="CR87" s="125">
        <v>44246</v>
      </c>
      <c r="CS87" s="2">
        <v>8</v>
      </c>
    </row>
    <row r="88" spans="29:97" x14ac:dyDescent="0.35">
      <c r="AC88" s="19" t="s">
        <v>136</v>
      </c>
      <c r="AD88" s="2">
        <v>0</v>
      </c>
      <c r="AE88" s="2">
        <v>0</v>
      </c>
      <c r="AF88" s="2">
        <v>0</v>
      </c>
      <c r="AG88" s="2">
        <v>0</v>
      </c>
      <c r="AH88" s="2">
        <v>0</v>
      </c>
      <c r="AI88" s="2">
        <v>0</v>
      </c>
      <c r="AJ88" s="2">
        <v>0</v>
      </c>
      <c r="AK88" s="2">
        <v>0</v>
      </c>
      <c r="AL88" s="2">
        <v>0</v>
      </c>
      <c r="AM88" s="2">
        <v>0</v>
      </c>
      <c r="AN88" s="2">
        <v>0</v>
      </c>
      <c r="AO88" s="2">
        <v>0</v>
      </c>
      <c r="AP88" s="2">
        <v>0</v>
      </c>
      <c r="AS88" s="125">
        <v>44247</v>
      </c>
      <c r="AT88" s="2">
        <v>22</v>
      </c>
      <c r="BZ88" s="2"/>
      <c r="CA88" s="19" t="s">
        <v>136</v>
      </c>
      <c r="CB88" s="2">
        <v>0</v>
      </c>
      <c r="CC88" s="2">
        <v>0</v>
      </c>
      <c r="CD88" s="2">
        <v>0</v>
      </c>
      <c r="CE88" s="2">
        <v>0</v>
      </c>
      <c r="CF88" s="2">
        <v>0</v>
      </c>
      <c r="CG88" s="2">
        <v>0</v>
      </c>
      <c r="CH88" s="2">
        <v>0</v>
      </c>
      <c r="CI88" s="2">
        <v>0</v>
      </c>
      <c r="CJ88" s="2">
        <v>0</v>
      </c>
      <c r="CK88" s="2">
        <v>0</v>
      </c>
      <c r="CL88" s="2">
        <v>0</v>
      </c>
      <c r="CM88" s="2">
        <v>0</v>
      </c>
      <c r="CN88" s="2">
        <v>0</v>
      </c>
      <c r="CP88" s="2"/>
      <c r="CR88" s="125">
        <v>44247</v>
      </c>
      <c r="CS88" s="2">
        <v>10</v>
      </c>
    </row>
    <row r="89" spans="29:97" x14ac:dyDescent="0.35">
      <c r="AC89" s="19" t="s">
        <v>137</v>
      </c>
      <c r="AD89" s="2">
        <v>23</v>
      </c>
      <c r="AE89" s="2">
        <v>12</v>
      </c>
      <c r="AF89" s="2">
        <v>20</v>
      </c>
      <c r="AG89" s="2">
        <v>16</v>
      </c>
      <c r="AH89" s="2">
        <v>0</v>
      </c>
      <c r="AI89" s="2">
        <v>0</v>
      </c>
      <c r="AJ89" s="2">
        <v>0</v>
      </c>
      <c r="AK89" s="2">
        <v>17</v>
      </c>
      <c r="AL89" s="2">
        <v>42</v>
      </c>
      <c r="AM89" s="2">
        <v>41</v>
      </c>
      <c r="AN89" s="2">
        <v>48</v>
      </c>
      <c r="AO89" s="2">
        <v>28</v>
      </c>
      <c r="AP89" s="2">
        <v>54</v>
      </c>
      <c r="AS89" s="125">
        <v>44248</v>
      </c>
      <c r="AT89" s="2">
        <v>20</v>
      </c>
      <c r="BZ89" s="2"/>
      <c r="CA89" s="19" t="s">
        <v>137</v>
      </c>
      <c r="CB89" s="2">
        <v>6</v>
      </c>
      <c r="CC89" s="2">
        <v>13</v>
      </c>
      <c r="CD89" s="2">
        <v>26</v>
      </c>
      <c r="CE89" s="2">
        <v>21</v>
      </c>
      <c r="CF89" s="2">
        <v>17</v>
      </c>
      <c r="CG89" s="2">
        <v>3</v>
      </c>
      <c r="CH89" s="2">
        <v>7</v>
      </c>
      <c r="CI89" s="2">
        <v>8</v>
      </c>
      <c r="CJ89" s="2">
        <v>0</v>
      </c>
      <c r="CK89" s="2">
        <v>0</v>
      </c>
      <c r="CL89" s="2">
        <v>0</v>
      </c>
      <c r="CM89" s="2">
        <v>9</v>
      </c>
      <c r="CN89" s="2">
        <v>6</v>
      </c>
      <c r="CP89" s="2"/>
      <c r="CR89" s="125">
        <v>44248</v>
      </c>
      <c r="CS89" s="2">
        <v>9</v>
      </c>
    </row>
    <row r="90" spans="29:97" x14ac:dyDescent="0.35">
      <c r="AC90" s="19" t="s">
        <v>138</v>
      </c>
      <c r="AD90" s="2">
        <v>0</v>
      </c>
      <c r="AE90" s="2">
        <v>0</v>
      </c>
      <c r="AF90" s="2">
        <v>0</v>
      </c>
      <c r="AG90" s="2">
        <v>0</v>
      </c>
      <c r="AH90" s="2">
        <v>0</v>
      </c>
      <c r="AI90" s="2">
        <v>0</v>
      </c>
      <c r="AJ90" s="2">
        <v>0</v>
      </c>
      <c r="AK90" s="2">
        <v>0</v>
      </c>
      <c r="AL90" s="2">
        <v>0</v>
      </c>
      <c r="AM90" s="2">
        <v>0</v>
      </c>
      <c r="AN90" s="2">
        <v>0</v>
      </c>
      <c r="AO90" s="2">
        <v>0</v>
      </c>
      <c r="AP90" s="2">
        <v>0</v>
      </c>
      <c r="AS90" s="125">
        <v>44249</v>
      </c>
      <c r="AT90" s="2">
        <v>3</v>
      </c>
      <c r="BZ90" s="2"/>
      <c r="CA90" s="19" t="s">
        <v>138</v>
      </c>
      <c r="CB90" s="2">
        <v>0</v>
      </c>
      <c r="CC90" s="2">
        <v>0</v>
      </c>
      <c r="CD90" s="2">
        <v>0</v>
      </c>
      <c r="CE90" s="2">
        <v>0</v>
      </c>
      <c r="CF90" s="2">
        <v>0</v>
      </c>
      <c r="CG90" s="2">
        <v>0</v>
      </c>
      <c r="CH90" s="2">
        <v>0</v>
      </c>
      <c r="CI90" s="2">
        <v>0</v>
      </c>
      <c r="CJ90" s="2">
        <v>0</v>
      </c>
      <c r="CK90" s="2">
        <v>0</v>
      </c>
      <c r="CL90" s="2">
        <v>0</v>
      </c>
      <c r="CM90" s="2">
        <v>0</v>
      </c>
      <c r="CN90" s="2">
        <v>0</v>
      </c>
      <c r="CP90" s="2"/>
      <c r="CR90" s="125">
        <v>44249</v>
      </c>
      <c r="CS90" s="2">
        <v>1</v>
      </c>
    </row>
    <row r="91" spans="29:97" x14ac:dyDescent="0.35">
      <c r="AC91" s="19" t="s">
        <v>139</v>
      </c>
      <c r="AD91" s="2">
        <v>12</v>
      </c>
      <c r="AE91" s="2">
        <v>12</v>
      </c>
      <c r="AF91" s="2">
        <v>0</v>
      </c>
      <c r="AG91" s="2">
        <v>0</v>
      </c>
      <c r="AH91" s="2">
        <v>4</v>
      </c>
      <c r="AI91" s="2">
        <v>0</v>
      </c>
      <c r="AJ91" s="2">
        <v>0</v>
      </c>
      <c r="AK91" s="2">
        <v>24</v>
      </c>
      <c r="AL91" s="2">
        <v>0</v>
      </c>
      <c r="AM91" s="2">
        <v>0</v>
      </c>
      <c r="AN91" s="2">
        <v>0</v>
      </c>
      <c r="AO91" s="2">
        <v>0</v>
      </c>
      <c r="AP91" s="2">
        <v>0</v>
      </c>
      <c r="AS91" s="125">
        <v>44250</v>
      </c>
      <c r="AT91" s="2">
        <v>13</v>
      </c>
      <c r="BZ91" s="2"/>
      <c r="CA91" s="19" t="s">
        <v>139</v>
      </c>
      <c r="CB91" s="2">
        <v>2</v>
      </c>
      <c r="CC91" s="2">
        <v>0</v>
      </c>
      <c r="CD91" s="2">
        <v>0</v>
      </c>
      <c r="CE91" s="2">
        <v>0</v>
      </c>
      <c r="CF91" s="2">
        <v>0</v>
      </c>
      <c r="CG91" s="2">
        <v>4</v>
      </c>
      <c r="CH91" s="2">
        <v>0</v>
      </c>
      <c r="CI91" s="2">
        <v>0</v>
      </c>
      <c r="CJ91" s="2">
        <v>2</v>
      </c>
      <c r="CK91" s="2">
        <v>0</v>
      </c>
      <c r="CL91" s="2">
        <v>0</v>
      </c>
      <c r="CM91" s="2">
        <v>3</v>
      </c>
      <c r="CN91" s="2">
        <v>0</v>
      </c>
      <c r="CP91" s="2"/>
      <c r="CR91" s="125">
        <v>44250</v>
      </c>
      <c r="CS91" s="2">
        <v>7</v>
      </c>
    </row>
    <row r="92" spans="29:97" x14ac:dyDescent="0.35">
      <c r="AC92" s="19" t="s">
        <v>436</v>
      </c>
      <c r="AD92" s="2">
        <v>2</v>
      </c>
      <c r="AE92" s="2">
        <v>8</v>
      </c>
      <c r="AF92" s="2">
        <v>2</v>
      </c>
      <c r="AG92" s="2">
        <v>1</v>
      </c>
      <c r="AH92" s="2">
        <v>6</v>
      </c>
      <c r="AI92" s="2">
        <v>12</v>
      </c>
      <c r="AJ92" s="2">
        <v>0</v>
      </c>
      <c r="AK92" s="2">
        <v>0</v>
      </c>
      <c r="AL92" s="2">
        <v>0</v>
      </c>
      <c r="AM92" s="2">
        <v>0</v>
      </c>
      <c r="AN92" s="2">
        <v>3</v>
      </c>
      <c r="AO92" s="2">
        <v>1</v>
      </c>
      <c r="AP92" s="2">
        <v>3</v>
      </c>
      <c r="AS92" s="125">
        <v>44251</v>
      </c>
      <c r="AT92" s="2">
        <v>22</v>
      </c>
      <c r="BZ92" s="2"/>
      <c r="CA92" s="19" t="s">
        <v>436</v>
      </c>
      <c r="CB92" s="2">
        <v>1</v>
      </c>
      <c r="CC92" s="2">
        <v>0</v>
      </c>
      <c r="CD92" s="2">
        <v>2</v>
      </c>
      <c r="CE92" s="2">
        <v>1</v>
      </c>
      <c r="CF92" s="2">
        <v>3</v>
      </c>
      <c r="CG92" s="2">
        <v>5</v>
      </c>
      <c r="CH92" s="2">
        <v>2</v>
      </c>
      <c r="CI92" s="2">
        <v>1</v>
      </c>
      <c r="CJ92" s="2">
        <v>0</v>
      </c>
      <c r="CK92" s="2">
        <v>0</v>
      </c>
      <c r="CL92" s="2">
        <v>0</v>
      </c>
      <c r="CM92" s="2">
        <v>0</v>
      </c>
      <c r="CN92" s="2">
        <v>0</v>
      </c>
      <c r="CP92" s="2"/>
      <c r="CR92" s="125">
        <v>44251</v>
      </c>
      <c r="CS92" s="2">
        <v>7</v>
      </c>
    </row>
    <row r="93" spans="29:97" x14ac:dyDescent="0.35">
      <c r="AC93" s="19" t="s">
        <v>140</v>
      </c>
      <c r="AD93" s="2">
        <v>0</v>
      </c>
      <c r="AE93" s="2">
        <v>0</v>
      </c>
      <c r="AF93" s="2">
        <v>0</v>
      </c>
      <c r="AG93" s="2">
        <v>0</v>
      </c>
      <c r="AH93" s="2">
        <v>0</v>
      </c>
      <c r="AI93" s="2">
        <v>0</v>
      </c>
      <c r="AJ93" s="2">
        <v>0</v>
      </c>
      <c r="AK93" s="2">
        <v>0</v>
      </c>
      <c r="AL93" s="2">
        <v>0</v>
      </c>
      <c r="AM93" s="2">
        <v>0</v>
      </c>
      <c r="AN93" s="2">
        <v>0</v>
      </c>
      <c r="AO93" s="2">
        <v>0</v>
      </c>
      <c r="AP93" s="2">
        <v>0</v>
      </c>
      <c r="AS93" s="125">
        <v>44252</v>
      </c>
      <c r="AT93" s="2">
        <v>20</v>
      </c>
      <c r="BZ93" s="2"/>
      <c r="CA93" s="19" t="s">
        <v>140</v>
      </c>
      <c r="CB93" s="2">
        <v>0</v>
      </c>
      <c r="CC93" s="2">
        <v>0</v>
      </c>
      <c r="CD93" s="2">
        <v>0</v>
      </c>
      <c r="CE93" s="2">
        <v>0</v>
      </c>
      <c r="CF93" s="2">
        <v>0</v>
      </c>
      <c r="CG93" s="2">
        <v>0</v>
      </c>
      <c r="CH93" s="2">
        <v>0</v>
      </c>
      <c r="CI93" s="2">
        <v>0</v>
      </c>
      <c r="CJ93" s="2">
        <v>0</v>
      </c>
      <c r="CK93" s="2">
        <v>0</v>
      </c>
      <c r="CL93" s="2">
        <v>0</v>
      </c>
      <c r="CM93" s="2">
        <v>0</v>
      </c>
      <c r="CN93" s="2">
        <v>0</v>
      </c>
      <c r="CP93" s="2"/>
      <c r="CR93" s="125">
        <v>44252</v>
      </c>
      <c r="CS93" s="2">
        <v>5</v>
      </c>
    </row>
    <row r="94" spans="29:97" x14ac:dyDescent="0.35">
      <c r="AC94" s="19" t="s">
        <v>290</v>
      </c>
      <c r="AD94" s="2">
        <v>16</v>
      </c>
      <c r="AE94" s="2">
        <v>0</v>
      </c>
      <c r="AF94" s="2">
        <v>12</v>
      </c>
      <c r="AG94" s="2">
        <v>0</v>
      </c>
      <c r="AH94" s="2">
        <v>24</v>
      </c>
      <c r="AI94" s="2">
        <v>12</v>
      </c>
      <c r="AJ94" s="2">
        <v>0</v>
      </c>
      <c r="AK94" s="2">
        <v>12</v>
      </c>
      <c r="AL94" s="2">
        <v>6</v>
      </c>
      <c r="AM94" s="2">
        <v>30</v>
      </c>
      <c r="AN94" s="2">
        <v>0</v>
      </c>
      <c r="AO94" s="2">
        <v>6</v>
      </c>
      <c r="AP94" s="2">
        <v>6</v>
      </c>
      <c r="AS94" s="125">
        <v>44253</v>
      </c>
      <c r="AT94" s="2">
        <v>26</v>
      </c>
      <c r="BZ94" s="2"/>
      <c r="CA94" s="19" t="s">
        <v>290</v>
      </c>
      <c r="CB94" s="2">
        <v>0</v>
      </c>
      <c r="CC94" s="2">
        <v>5</v>
      </c>
      <c r="CD94" s="2">
        <v>0</v>
      </c>
      <c r="CE94" s="2">
        <v>4</v>
      </c>
      <c r="CF94" s="2">
        <v>0</v>
      </c>
      <c r="CG94" s="2">
        <v>0</v>
      </c>
      <c r="CH94" s="2">
        <v>5</v>
      </c>
      <c r="CI94" s="2">
        <v>0</v>
      </c>
      <c r="CJ94" s="2">
        <v>6</v>
      </c>
      <c r="CK94" s="2">
        <v>0</v>
      </c>
      <c r="CL94" s="2">
        <v>0</v>
      </c>
      <c r="CM94" s="2">
        <v>2</v>
      </c>
      <c r="CN94" s="2">
        <v>0</v>
      </c>
      <c r="CP94" s="2"/>
      <c r="CR94" s="125">
        <v>44253</v>
      </c>
      <c r="CS94" s="2">
        <v>10</v>
      </c>
    </row>
    <row r="95" spans="29:97" x14ac:dyDescent="0.35">
      <c r="AC95" s="19" t="s">
        <v>141</v>
      </c>
      <c r="AD95" s="2">
        <v>0</v>
      </c>
      <c r="AE95" s="2">
        <v>31</v>
      </c>
      <c r="AF95" s="2">
        <v>3</v>
      </c>
      <c r="AG95" s="2">
        <v>0</v>
      </c>
      <c r="AH95" s="2">
        <v>0</v>
      </c>
      <c r="AI95" s="2">
        <v>6</v>
      </c>
      <c r="AJ95" s="2">
        <v>0</v>
      </c>
      <c r="AK95" s="2">
        <v>0</v>
      </c>
      <c r="AL95" s="2">
        <v>0</v>
      </c>
      <c r="AM95" s="2">
        <v>0</v>
      </c>
      <c r="AN95" s="2">
        <v>0</v>
      </c>
      <c r="AO95" s="2">
        <v>0</v>
      </c>
      <c r="AP95" s="2">
        <v>0</v>
      </c>
      <c r="AS95" s="125">
        <v>44254</v>
      </c>
      <c r="AT95" s="2">
        <v>30</v>
      </c>
      <c r="BZ95" s="2"/>
      <c r="CA95" s="19" t="s">
        <v>141</v>
      </c>
      <c r="CB95" s="2">
        <v>0</v>
      </c>
      <c r="CC95" s="2">
        <v>0</v>
      </c>
      <c r="CD95" s="2">
        <v>0</v>
      </c>
      <c r="CE95" s="2">
        <v>0</v>
      </c>
      <c r="CF95" s="2">
        <v>0</v>
      </c>
      <c r="CG95" s="2">
        <v>19</v>
      </c>
      <c r="CH95" s="2">
        <v>2</v>
      </c>
      <c r="CI95" s="2">
        <v>0</v>
      </c>
      <c r="CJ95" s="2">
        <v>0</v>
      </c>
      <c r="CK95" s="2">
        <v>0</v>
      </c>
      <c r="CL95" s="2">
        <v>0</v>
      </c>
      <c r="CM95" s="2">
        <v>0</v>
      </c>
      <c r="CN95" s="2">
        <v>0</v>
      </c>
      <c r="CP95" s="2"/>
      <c r="CR95" s="125">
        <v>44254</v>
      </c>
      <c r="CS95" s="2">
        <v>7</v>
      </c>
    </row>
    <row r="96" spans="29:97" x14ac:dyDescent="0.35">
      <c r="AC96" s="19" t="s">
        <v>142</v>
      </c>
      <c r="AD96" s="2">
        <v>18</v>
      </c>
      <c r="AE96" s="2">
        <v>0</v>
      </c>
      <c r="AF96" s="2">
        <v>0</v>
      </c>
      <c r="AG96" s="2">
        <v>0</v>
      </c>
      <c r="AH96" s="2">
        <v>0</v>
      </c>
      <c r="AI96" s="2">
        <v>0</v>
      </c>
      <c r="AJ96" s="2">
        <v>0</v>
      </c>
      <c r="AK96" s="2">
        <v>0</v>
      </c>
      <c r="AL96" s="2">
        <v>0</v>
      </c>
      <c r="AM96" s="2">
        <v>0</v>
      </c>
      <c r="AN96" s="2">
        <v>0</v>
      </c>
      <c r="AO96" s="2">
        <v>0</v>
      </c>
      <c r="AP96" s="2">
        <v>0</v>
      </c>
      <c r="AS96" s="125">
        <v>44255</v>
      </c>
      <c r="AT96" s="2">
        <v>70</v>
      </c>
      <c r="BZ96" s="2"/>
      <c r="CA96" s="19" t="s">
        <v>142</v>
      </c>
      <c r="CB96" s="2">
        <v>3</v>
      </c>
      <c r="CC96" s="2">
        <v>0</v>
      </c>
      <c r="CD96" s="2">
        <v>0</v>
      </c>
      <c r="CE96" s="2">
        <v>0</v>
      </c>
      <c r="CF96" s="2">
        <v>0</v>
      </c>
      <c r="CG96" s="2">
        <v>0</v>
      </c>
      <c r="CH96" s="2">
        <v>0</v>
      </c>
      <c r="CI96" s="2">
        <v>0</v>
      </c>
      <c r="CJ96" s="2">
        <v>0</v>
      </c>
      <c r="CK96" s="2">
        <v>0</v>
      </c>
      <c r="CL96" s="2">
        <v>0</v>
      </c>
      <c r="CM96" s="2">
        <v>0</v>
      </c>
      <c r="CN96" s="2">
        <v>0</v>
      </c>
      <c r="CP96" s="2"/>
      <c r="CR96" s="125">
        <v>44255</v>
      </c>
      <c r="CS96" s="2">
        <v>18</v>
      </c>
    </row>
    <row r="97" spans="29:94" x14ac:dyDescent="0.35">
      <c r="AC97" s="19" t="s">
        <v>143</v>
      </c>
      <c r="AD97" s="2">
        <v>0</v>
      </c>
      <c r="AE97" s="2">
        <v>0</v>
      </c>
      <c r="AF97" s="2">
        <v>0</v>
      </c>
      <c r="AG97" s="2">
        <v>0</v>
      </c>
      <c r="AH97" s="2">
        <v>0</v>
      </c>
      <c r="AI97" s="2">
        <v>1</v>
      </c>
      <c r="AJ97" s="2">
        <v>0</v>
      </c>
      <c r="AK97" s="2">
        <v>3</v>
      </c>
      <c r="AL97" s="2">
        <v>2</v>
      </c>
      <c r="AM97" s="2">
        <v>0</v>
      </c>
      <c r="AN97" s="2">
        <v>0</v>
      </c>
      <c r="AO97" s="2">
        <v>0</v>
      </c>
      <c r="AP97" s="2">
        <v>0</v>
      </c>
      <c r="BZ97" s="2"/>
      <c r="CA97" s="19" t="s">
        <v>143</v>
      </c>
      <c r="CB97" s="2">
        <v>0</v>
      </c>
      <c r="CC97" s="2">
        <v>0</v>
      </c>
      <c r="CD97" s="2">
        <v>0</v>
      </c>
      <c r="CE97" s="2">
        <v>0</v>
      </c>
      <c r="CF97" s="2">
        <v>0</v>
      </c>
      <c r="CG97" s="2">
        <v>0</v>
      </c>
      <c r="CH97" s="2">
        <v>0</v>
      </c>
      <c r="CI97" s="2">
        <v>0</v>
      </c>
      <c r="CJ97" s="2">
        <v>0</v>
      </c>
      <c r="CK97" s="2">
        <v>1</v>
      </c>
      <c r="CL97" s="2">
        <v>0</v>
      </c>
      <c r="CM97" s="2">
        <v>3</v>
      </c>
      <c r="CN97" s="2">
        <v>2</v>
      </c>
      <c r="CP97" s="2"/>
    </row>
    <row r="98" spans="29:94" x14ac:dyDescent="0.35">
      <c r="AC98" s="19" t="s">
        <v>144</v>
      </c>
      <c r="AD98" s="2">
        <v>0</v>
      </c>
      <c r="AE98" s="2">
        <v>0</v>
      </c>
      <c r="AF98" s="2">
        <v>0</v>
      </c>
      <c r="AG98" s="2">
        <v>0</v>
      </c>
      <c r="AH98" s="2">
        <v>0</v>
      </c>
      <c r="AI98" s="2">
        <v>0</v>
      </c>
      <c r="AJ98" s="2">
        <v>0</v>
      </c>
      <c r="AK98" s="2">
        <v>0</v>
      </c>
      <c r="AL98" s="2">
        <v>0</v>
      </c>
      <c r="AM98" s="2">
        <v>0</v>
      </c>
      <c r="AN98" s="2">
        <v>0</v>
      </c>
      <c r="AO98" s="2">
        <v>0</v>
      </c>
      <c r="AP98" s="2">
        <v>0</v>
      </c>
      <c r="BZ98" s="2"/>
      <c r="CA98" s="19" t="s">
        <v>144</v>
      </c>
      <c r="CB98" s="2">
        <v>0</v>
      </c>
      <c r="CC98" s="2">
        <v>0</v>
      </c>
      <c r="CD98" s="2">
        <v>0</v>
      </c>
      <c r="CE98" s="2">
        <v>0</v>
      </c>
      <c r="CF98" s="2">
        <v>0</v>
      </c>
      <c r="CG98" s="2">
        <v>0</v>
      </c>
      <c r="CH98" s="2">
        <v>0</v>
      </c>
      <c r="CI98" s="2">
        <v>0</v>
      </c>
      <c r="CJ98" s="2">
        <v>0</v>
      </c>
      <c r="CK98" s="2">
        <v>0</v>
      </c>
      <c r="CL98" s="2">
        <v>0</v>
      </c>
      <c r="CM98" s="2">
        <v>0</v>
      </c>
      <c r="CN98" s="2">
        <v>0</v>
      </c>
      <c r="CP98" s="2"/>
    </row>
    <row r="99" spans="29:94" x14ac:dyDescent="0.35">
      <c r="AC99" s="19" t="s">
        <v>145</v>
      </c>
      <c r="AD99" s="2">
        <v>0</v>
      </c>
      <c r="AE99" s="2">
        <v>0</v>
      </c>
      <c r="AF99" s="2">
        <v>0</v>
      </c>
      <c r="AG99" s="2">
        <v>0</v>
      </c>
      <c r="AH99" s="2">
        <v>0</v>
      </c>
      <c r="AI99" s="2">
        <v>0</v>
      </c>
      <c r="AJ99" s="2">
        <v>0</v>
      </c>
      <c r="AK99" s="2">
        <v>0</v>
      </c>
      <c r="AL99" s="2">
        <v>0</v>
      </c>
      <c r="AM99" s="2">
        <v>0</v>
      </c>
      <c r="AN99" s="2">
        <v>0</v>
      </c>
      <c r="AO99" s="2">
        <v>0</v>
      </c>
      <c r="AP99" s="2">
        <v>0</v>
      </c>
      <c r="BZ99" s="2"/>
      <c r="CA99" s="19" t="s">
        <v>145</v>
      </c>
      <c r="CB99" s="2">
        <v>0</v>
      </c>
      <c r="CC99" s="2">
        <v>0</v>
      </c>
      <c r="CD99" s="2">
        <v>0</v>
      </c>
      <c r="CE99" s="2">
        <v>0</v>
      </c>
      <c r="CF99" s="2">
        <v>0</v>
      </c>
      <c r="CG99" s="2">
        <v>0</v>
      </c>
      <c r="CH99" s="2">
        <v>0</v>
      </c>
      <c r="CI99" s="2">
        <v>0</v>
      </c>
      <c r="CJ99" s="2">
        <v>0</v>
      </c>
      <c r="CK99" s="2">
        <v>0</v>
      </c>
      <c r="CL99" s="2">
        <v>0</v>
      </c>
      <c r="CM99" s="2">
        <v>0</v>
      </c>
      <c r="CN99" s="2">
        <v>0</v>
      </c>
      <c r="CP99" s="2"/>
    </row>
    <row r="100" spans="29:94" x14ac:dyDescent="0.35">
      <c r="AC100" s="19" t="s">
        <v>146</v>
      </c>
      <c r="AD100" s="2">
        <v>0</v>
      </c>
      <c r="AE100" s="2">
        <v>34</v>
      </c>
      <c r="AF100" s="2">
        <v>0</v>
      </c>
      <c r="AG100" s="2">
        <v>55</v>
      </c>
      <c r="AH100" s="2">
        <v>0</v>
      </c>
      <c r="AI100" s="2">
        <v>0</v>
      </c>
      <c r="AJ100" s="2">
        <v>0</v>
      </c>
      <c r="AK100" s="2">
        <v>0</v>
      </c>
      <c r="AL100" s="2">
        <v>0</v>
      </c>
      <c r="AM100" s="2">
        <v>0</v>
      </c>
      <c r="AN100" s="2">
        <v>18</v>
      </c>
      <c r="AO100" s="2">
        <v>0</v>
      </c>
      <c r="AP100" s="2">
        <v>0</v>
      </c>
      <c r="BZ100" s="2"/>
      <c r="CA100" s="19" t="s">
        <v>146</v>
      </c>
      <c r="CB100" s="2">
        <v>0</v>
      </c>
      <c r="CC100" s="2">
        <v>0</v>
      </c>
      <c r="CD100" s="2">
        <v>18</v>
      </c>
      <c r="CE100" s="2">
        <v>0</v>
      </c>
      <c r="CF100" s="2">
        <v>0</v>
      </c>
      <c r="CG100" s="2">
        <v>34</v>
      </c>
      <c r="CH100" s="2">
        <v>0</v>
      </c>
      <c r="CI100" s="2">
        <v>55</v>
      </c>
      <c r="CJ100" s="2">
        <v>0</v>
      </c>
      <c r="CK100" s="2">
        <v>0</v>
      </c>
      <c r="CL100" s="2">
        <v>0</v>
      </c>
      <c r="CM100" s="2">
        <v>0</v>
      </c>
      <c r="CN100" s="2">
        <v>0</v>
      </c>
      <c r="CP100" s="2"/>
    </row>
    <row r="101" spans="29:94" x14ac:dyDescent="0.35">
      <c r="AC101" s="19" t="s">
        <v>147</v>
      </c>
      <c r="AD101" s="2">
        <v>0</v>
      </c>
      <c r="AE101" s="2">
        <v>0</v>
      </c>
      <c r="AF101" s="2">
        <v>0</v>
      </c>
      <c r="AG101" s="2">
        <v>0</v>
      </c>
      <c r="AH101" s="2">
        <v>0</v>
      </c>
      <c r="AI101" s="2">
        <v>0</v>
      </c>
      <c r="AJ101" s="2">
        <v>0</v>
      </c>
      <c r="AK101" s="2">
        <v>0</v>
      </c>
      <c r="AL101" s="2">
        <v>0</v>
      </c>
      <c r="AM101" s="2">
        <v>0</v>
      </c>
      <c r="AN101" s="2">
        <v>0</v>
      </c>
      <c r="AO101" s="2">
        <v>0</v>
      </c>
      <c r="AP101" s="2">
        <v>0</v>
      </c>
      <c r="BZ101" s="2"/>
      <c r="CA101" s="19" t="s">
        <v>147</v>
      </c>
      <c r="CB101" s="2">
        <v>0</v>
      </c>
      <c r="CC101" s="2">
        <v>0</v>
      </c>
      <c r="CD101" s="2">
        <v>0</v>
      </c>
      <c r="CE101" s="2">
        <v>0</v>
      </c>
      <c r="CF101" s="2">
        <v>0</v>
      </c>
      <c r="CG101" s="2">
        <v>0</v>
      </c>
      <c r="CH101" s="2">
        <v>0</v>
      </c>
      <c r="CI101" s="2">
        <v>0</v>
      </c>
      <c r="CJ101" s="2">
        <v>0</v>
      </c>
      <c r="CK101" s="2">
        <v>0</v>
      </c>
      <c r="CL101" s="2">
        <v>0</v>
      </c>
      <c r="CM101" s="2">
        <v>0</v>
      </c>
      <c r="CN101" s="2">
        <v>0</v>
      </c>
      <c r="CP101" s="2"/>
    </row>
    <row r="102" spans="29:94" x14ac:dyDescent="0.35">
      <c r="AC102" s="19" t="s">
        <v>148</v>
      </c>
      <c r="AD102" s="2">
        <v>10</v>
      </c>
      <c r="AE102" s="2">
        <v>0</v>
      </c>
      <c r="AF102" s="2">
        <v>0</v>
      </c>
      <c r="AG102" s="2">
        <v>3</v>
      </c>
      <c r="AH102" s="2">
        <v>47</v>
      </c>
      <c r="AI102" s="2">
        <v>0</v>
      </c>
      <c r="AJ102" s="2">
        <v>0</v>
      </c>
      <c r="AK102" s="2">
        <v>0</v>
      </c>
      <c r="AL102" s="2">
        <v>0</v>
      </c>
      <c r="AM102" s="2">
        <v>0</v>
      </c>
      <c r="AN102" s="2">
        <v>2</v>
      </c>
      <c r="AO102" s="2">
        <v>0</v>
      </c>
      <c r="AP102" s="2">
        <v>0</v>
      </c>
      <c r="BZ102" s="2"/>
      <c r="CA102" s="19" t="s">
        <v>148</v>
      </c>
      <c r="CB102" s="2">
        <v>0</v>
      </c>
      <c r="CC102" s="2">
        <v>0</v>
      </c>
      <c r="CD102" s="2">
        <v>2</v>
      </c>
      <c r="CE102" s="2">
        <v>0</v>
      </c>
      <c r="CF102" s="2">
        <v>0</v>
      </c>
      <c r="CG102" s="2">
        <v>0</v>
      </c>
      <c r="CH102" s="2">
        <v>0</v>
      </c>
      <c r="CI102" s="2">
        <v>0</v>
      </c>
      <c r="CJ102" s="2">
        <v>0</v>
      </c>
      <c r="CK102" s="2">
        <v>0</v>
      </c>
      <c r="CL102" s="2">
        <v>0</v>
      </c>
      <c r="CM102" s="2">
        <v>0</v>
      </c>
      <c r="CN102" s="2">
        <v>0</v>
      </c>
      <c r="CP102" s="2"/>
    </row>
    <row r="103" spans="29:94" x14ac:dyDescent="0.35">
      <c r="AC103" s="19" t="s">
        <v>149</v>
      </c>
      <c r="AD103" s="2">
        <v>0</v>
      </c>
      <c r="AE103" s="2">
        <v>0</v>
      </c>
      <c r="AF103" s="2">
        <v>0</v>
      </c>
      <c r="AG103" s="2">
        <v>0</v>
      </c>
      <c r="AH103" s="2">
        <v>0</v>
      </c>
      <c r="AI103" s="2">
        <v>0</v>
      </c>
      <c r="AJ103" s="2">
        <v>0</v>
      </c>
      <c r="AK103" s="2">
        <v>0</v>
      </c>
      <c r="AL103" s="2">
        <v>30</v>
      </c>
      <c r="AM103" s="2">
        <v>0</v>
      </c>
      <c r="AN103" s="2">
        <v>0</v>
      </c>
      <c r="AO103" s="2">
        <v>0</v>
      </c>
      <c r="AP103" s="2">
        <v>5</v>
      </c>
      <c r="BZ103" s="2"/>
      <c r="CA103" s="19" t="s">
        <v>149</v>
      </c>
      <c r="CB103" s="2">
        <v>0</v>
      </c>
      <c r="CC103" s="2">
        <v>0</v>
      </c>
      <c r="CD103" s="2">
        <v>0</v>
      </c>
      <c r="CE103" s="2">
        <v>0</v>
      </c>
      <c r="CF103" s="2">
        <v>5</v>
      </c>
      <c r="CG103" s="2">
        <v>0</v>
      </c>
      <c r="CH103" s="2">
        <v>0</v>
      </c>
      <c r="CI103" s="2">
        <v>0</v>
      </c>
      <c r="CJ103" s="2">
        <v>0</v>
      </c>
      <c r="CK103" s="2">
        <v>0</v>
      </c>
      <c r="CL103" s="2">
        <v>0</v>
      </c>
      <c r="CM103" s="2">
        <v>0</v>
      </c>
      <c r="CN103" s="2">
        <v>6</v>
      </c>
      <c r="CP103" s="2"/>
    </row>
    <row r="104" spans="29:94" x14ac:dyDescent="0.35">
      <c r="AC104" s="19" t="s">
        <v>150</v>
      </c>
      <c r="AD104" s="2">
        <v>0</v>
      </c>
      <c r="AE104" s="2">
        <v>0</v>
      </c>
      <c r="AF104" s="2">
        <v>84</v>
      </c>
      <c r="AG104" s="2">
        <v>16</v>
      </c>
      <c r="AH104" s="2">
        <v>0</v>
      </c>
      <c r="AI104" s="2">
        <v>0</v>
      </c>
      <c r="AJ104" s="2">
        <v>0</v>
      </c>
      <c r="AK104" s="2">
        <v>0</v>
      </c>
      <c r="AL104" s="2">
        <v>0</v>
      </c>
      <c r="AM104" s="2">
        <v>0</v>
      </c>
      <c r="AN104" s="2">
        <v>0</v>
      </c>
      <c r="AO104" s="2">
        <v>0</v>
      </c>
      <c r="AP104" s="2">
        <v>0</v>
      </c>
      <c r="BZ104" s="2"/>
      <c r="CA104" s="19" t="s">
        <v>150</v>
      </c>
      <c r="CB104" s="2">
        <v>0</v>
      </c>
      <c r="CC104" s="2">
        <v>0</v>
      </c>
      <c r="CD104" s="2">
        <v>0</v>
      </c>
      <c r="CE104" s="2">
        <v>0</v>
      </c>
      <c r="CF104" s="2">
        <v>0</v>
      </c>
      <c r="CG104" s="2">
        <v>0</v>
      </c>
      <c r="CH104" s="2">
        <v>15</v>
      </c>
      <c r="CI104" s="2">
        <v>6</v>
      </c>
      <c r="CJ104" s="2">
        <v>0</v>
      </c>
      <c r="CK104" s="2">
        <v>0</v>
      </c>
      <c r="CL104" s="2">
        <v>0</v>
      </c>
      <c r="CM104" s="2">
        <v>0</v>
      </c>
      <c r="CN104" s="2">
        <v>0</v>
      </c>
      <c r="CP104" s="2"/>
    </row>
    <row r="105" spans="29:94" x14ac:dyDescent="0.35">
      <c r="AC105" s="19" t="s">
        <v>151</v>
      </c>
      <c r="AD105" s="2">
        <v>0</v>
      </c>
      <c r="AE105" s="2">
        <v>0</v>
      </c>
      <c r="AF105" s="2">
        <v>0</v>
      </c>
      <c r="AG105" s="2">
        <v>0</v>
      </c>
      <c r="AH105" s="2">
        <v>0</v>
      </c>
      <c r="AI105" s="2">
        <v>0</v>
      </c>
      <c r="AJ105" s="2">
        <v>0</v>
      </c>
      <c r="AK105" s="2">
        <v>0</v>
      </c>
      <c r="AL105" s="2">
        <v>0</v>
      </c>
      <c r="AM105" s="2">
        <v>0</v>
      </c>
      <c r="AN105" s="2">
        <v>0</v>
      </c>
      <c r="AO105" s="2">
        <v>0</v>
      </c>
      <c r="AP105" s="2">
        <v>0</v>
      </c>
      <c r="BZ105" s="2"/>
      <c r="CA105" s="19" t="s">
        <v>151</v>
      </c>
      <c r="CB105" s="2">
        <v>0</v>
      </c>
      <c r="CC105" s="2">
        <v>0</v>
      </c>
      <c r="CD105" s="2">
        <v>0</v>
      </c>
      <c r="CE105" s="2">
        <v>0</v>
      </c>
      <c r="CF105" s="2">
        <v>0</v>
      </c>
      <c r="CG105" s="2">
        <v>0</v>
      </c>
      <c r="CH105" s="2">
        <v>0</v>
      </c>
      <c r="CI105" s="2">
        <v>0</v>
      </c>
      <c r="CJ105" s="2">
        <v>0</v>
      </c>
      <c r="CK105" s="2">
        <v>0</v>
      </c>
      <c r="CL105" s="2">
        <v>0</v>
      </c>
      <c r="CM105" s="2">
        <v>0</v>
      </c>
      <c r="CN105" s="2">
        <v>0</v>
      </c>
      <c r="CP105" s="2"/>
    </row>
    <row r="106" spans="29:94" x14ac:dyDescent="0.35">
      <c r="AC106" s="19" t="s">
        <v>263</v>
      </c>
      <c r="AD106" s="2">
        <v>6</v>
      </c>
      <c r="AE106" s="2">
        <v>6</v>
      </c>
      <c r="AF106" s="2">
        <v>0</v>
      </c>
      <c r="AG106" s="2">
        <v>0</v>
      </c>
      <c r="AH106" s="2">
        <v>0</v>
      </c>
      <c r="AI106" s="2">
        <v>0</v>
      </c>
      <c r="AJ106" s="2">
        <v>0</v>
      </c>
      <c r="AK106" s="2">
        <v>0</v>
      </c>
      <c r="AL106" s="2">
        <v>0</v>
      </c>
      <c r="AM106" s="2">
        <v>0</v>
      </c>
      <c r="AN106" s="2">
        <v>0</v>
      </c>
      <c r="AO106" s="2">
        <v>0</v>
      </c>
      <c r="AP106" s="2">
        <v>0</v>
      </c>
      <c r="BZ106" s="2"/>
      <c r="CA106" s="19" t="s">
        <v>263</v>
      </c>
      <c r="CB106" s="2">
        <v>1</v>
      </c>
      <c r="CC106" s="2">
        <v>0</v>
      </c>
      <c r="CD106" s="2">
        <v>0</v>
      </c>
      <c r="CE106" s="2">
        <v>0</v>
      </c>
      <c r="CF106" s="2">
        <v>0</v>
      </c>
      <c r="CG106" s="2">
        <v>3</v>
      </c>
      <c r="CH106" s="2">
        <v>0</v>
      </c>
      <c r="CI106" s="2">
        <v>0</v>
      </c>
      <c r="CJ106" s="2">
        <v>0</v>
      </c>
      <c r="CK106" s="2">
        <v>0</v>
      </c>
      <c r="CL106" s="2">
        <v>0</v>
      </c>
      <c r="CM106" s="2">
        <v>0</v>
      </c>
      <c r="CN106" s="2">
        <v>0</v>
      </c>
      <c r="CP106" s="2"/>
    </row>
    <row r="107" spans="29:94" x14ac:dyDescent="0.35">
      <c r="AC107" s="19" t="s">
        <v>152</v>
      </c>
      <c r="AD107" s="2">
        <v>0</v>
      </c>
      <c r="AE107" s="2">
        <v>0</v>
      </c>
      <c r="AF107" s="2">
        <v>0</v>
      </c>
      <c r="AG107" s="2">
        <v>6</v>
      </c>
      <c r="AH107" s="2">
        <v>6</v>
      </c>
      <c r="AI107" s="2">
        <v>0</v>
      </c>
      <c r="AJ107" s="2">
        <v>18</v>
      </c>
      <c r="AK107" s="2">
        <v>12</v>
      </c>
      <c r="AL107" s="2">
        <v>0</v>
      </c>
      <c r="AM107" s="2">
        <v>12</v>
      </c>
      <c r="AN107" s="2">
        <v>0</v>
      </c>
      <c r="AO107" s="2">
        <v>6</v>
      </c>
      <c r="AP107" s="2">
        <v>0</v>
      </c>
      <c r="BZ107" s="2"/>
      <c r="CA107" s="19" t="s">
        <v>152</v>
      </c>
      <c r="CB107" s="2">
        <v>0</v>
      </c>
      <c r="CC107" s="2">
        <v>0</v>
      </c>
      <c r="CD107" s="2">
        <v>0</v>
      </c>
      <c r="CE107" s="2">
        <v>2</v>
      </c>
      <c r="CF107" s="2">
        <v>0</v>
      </c>
      <c r="CG107" s="2">
        <v>0</v>
      </c>
      <c r="CH107" s="2">
        <v>0</v>
      </c>
      <c r="CI107" s="2">
        <v>3</v>
      </c>
      <c r="CJ107" s="2">
        <v>0</v>
      </c>
      <c r="CK107" s="2">
        <v>0</v>
      </c>
      <c r="CL107" s="2">
        <v>2</v>
      </c>
      <c r="CM107" s="2">
        <v>1</v>
      </c>
      <c r="CN107" s="2">
        <v>0</v>
      </c>
      <c r="CP107" s="2"/>
    </row>
    <row r="108" spans="29:94" x14ac:dyDescent="0.35">
      <c r="AC108" s="19" t="s">
        <v>153</v>
      </c>
      <c r="AD108" s="2">
        <v>0</v>
      </c>
      <c r="AE108" s="2">
        <v>0</v>
      </c>
      <c r="AF108" s="2">
        <v>0</v>
      </c>
      <c r="AG108" s="2">
        <v>0</v>
      </c>
      <c r="AH108" s="2">
        <v>0</v>
      </c>
      <c r="AI108" s="2">
        <v>0</v>
      </c>
      <c r="AJ108" s="2">
        <v>0</v>
      </c>
      <c r="AK108" s="2">
        <v>0</v>
      </c>
      <c r="AL108" s="2">
        <v>0</v>
      </c>
      <c r="AM108" s="2">
        <v>0</v>
      </c>
      <c r="AN108" s="2">
        <v>0</v>
      </c>
      <c r="AO108" s="2">
        <v>0</v>
      </c>
      <c r="AP108" s="2">
        <v>0</v>
      </c>
      <c r="BZ108" s="2"/>
      <c r="CA108" s="19" t="s">
        <v>153</v>
      </c>
      <c r="CB108" s="2">
        <v>0</v>
      </c>
      <c r="CC108" s="2">
        <v>0</v>
      </c>
      <c r="CD108" s="2">
        <v>0</v>
      </c>
      <c r="CE108" s="2">
        <v>0</v>
      </c>
      <c r="CF108" s="2">
        <v>0</v>
      </c>
      <c r="CG108" s="2">
        <v>0</v>
      </c>
      <c r="CH108" s="2">
        <v>0</v>
      </c>
      <c r="CI108" s="2">
        <v>0</v>
      </c>
      <c r="CJ108" s="2">
        <v>0</v>
      </c>
      <c r="CK108" s="2">
        <v>0</v>
      </c>
      <c r="CL108" s="2">
        <v>0</v>
      </c>
      <c r="CM108" s="2">
        <v>0</v>
      </c>
      <c r="CN108" s="2">
        <v>0</v>
      </c>
      <c r="CP108" s="2"/>
    </row>
    <row r="109" spans="29:94" x14ac:dyDescent="0.35">
      <c r="AC109" s="19" t="s">
        <v>154</v>
      </c>
      <c r="AD109" s="2">
        <v>6</v>
      </c>
      <c r="AE109" s="2">
        <v>6</v>
      </c>
      <c r="AF109" s="2">
        <v>0</v>
      </c>
      <c r="AG109" s="2">
        <v>0</v>
      </c>
      <c r="AH109" s="2">
        <v>24</v>
      </c>
      <c r="AI109" s="2">
        <v>0</v>
      </c>
      <c r="AJ109" s="2">
        <v>0</v>
      </c>
      <c r="AK109" s="2">
        <v>0</v>
      </c>
      <c r="AL109" s="2">
        <v>0</v>
      </c>
      <c r="AM109" s="2">
        <v>0</v>
      </c>
      <c r="AN109" s="2">
        <v>0</v>
      </c>
      <c r="AO109" s="2">
        <v>0</v>
      </c>
      <c r="AP109" s="2">
        <v>0</v>
      </c>
      <c r="BZ109" s="2"/>
      <c r="CA109" s="19" t="s">
        <v>154</v>
      </c>
      <c r="CB109" s="2">
        <v>0</v>
      </c>
      <c r="CC109" s="2">
        <v>0</v>
      </c>
      <c r="CD109" s="2">
        <v>0</v>
      </c>
      <c r="CE109" s="2">
        <v>0</v>
      </c>
      <c r="CF109" s="2">
        <v>0</v>
      </c>
      <c r="CG109" s="2">
        <v>1</v>
      </c>
      <c r="CH109" s="2">
        <v>0</v>
      </c>
      <c r="CI109" s="2">
        <v>0</v>
      </c>
      <c r="CJ109" s="2">
        <v>4</v>
      </c>
      <c r="CK109" s="2">
        <v>0</v>
      </c>
      <c r="CL109" s="2">
        <v>0</v>
      </c>
      <c r="CM109" s="2">
        <v>0</v>
      </c>
      <c r="CN109" s="2">
        <v>0</v>
      </c>
      <c r="CP109" s="2"/>
    </row>
    <row r="110" spans="29:94" x14ac:dyDescent="0.35">
      <c r="AC110" s="19" t="s">
        <v>155</v>
      </c>
      <c r="AD110" s="2">
        <v>0</v>
      </c>
      <c r="AE110" s="2">
        <v>0</v>
      </c>
      <c r="AF110" s="2">
        <v>0</v>
      </c>
      <c r="AG110" s="2">
        <v>0</v>
      </c>
      <c r="AH110" s="2">
        <v>0</v>
      </c>
      <c r="AI110" s="2">
        <v>0</v>
      </c>
      <c r="AJ110" s="2">
        <v>0</v>
      </c>
      <c r="AK110" s="2">
        <v>0</v>
      </c>
      <c r="AL110" s="2">
        <v>0</v>
      </c>
      <c r="AM110" s="2">
        <v>0</v>
      </c>
      <c r="AN110" s="2">
        <v>0</v>
      </c>
      <c r="AO110" s="2">
        <v>0</v>
      </c>
      <c r="AP110" s="2">
        <v>0</v>
      </c>
      <c r="BZ110" s="2"/>
      <c r="CA110" s="19" t="s">
        <v>155</v>
      </c>
      <c r="CB110" s="2">
        <v>0</v>
      </c>
      <c r="CC110" s="2">
        <v>0</v>
      </c>
      <c r="CD110" s="2">
        <v>0</v>
      </c>
      <c r="CE110" s="2">
        <v>0</v>
      </c>
      <c r="CF110" s="2">
        <v>0</v>
      </c>
      <c r="CG110" s="2">
        <v>0</v>
      </c>
      <c r="CH110" s="2">
        <v>0</v>
      </c>
      <c r="CI110" s="2">
        <v>0</v>
      </c>
      <c r="CJ110" s="2">
        <v>0</v>
      </c>
      <c r="CK110" s="2">
        <v>0</v>
      </c>
      <c r="CL110" s="2">
        <v>0</v>
      </c>
      <c r="CM110" s="2">
        <v>0</v>
      </c>
      <c r="CN110" s="2">
        <v>0</v>
      </c>
      <c r="CP110" s="2"/>
    </row>
    <row r="111" spans="29:94" x14ac:dyDescent="0.35">
      <c r="AC111" s="19" t="s">
        <v>156</v>
      </c>
      <c r="AD111" s="2">
        <v>0</v>
      </c>
      <c r="AE111" s="2">
        <v>0</v>
      </c>
      <c r="AF111" s="2">
        <v>0</v>
      </c>
      <c r="AG111" s="2">
        <v>0</v>
      </c>
      <c r="AH111" s="2">
        <v>0</v>
      </c>
      <c r="AI111" s="2">
        <v>0</v>
      </c>
      <c r="AJ111" s="2">
        <v>0</v>
      </c>
      <c r="AK111" s="2">
        <v>0</v>
      </c>
      <c r="AL111" s="2">
        <v>0</v>
      </c>
      <c r="AM111" s="2">
        <v>0</v>
      </c>
      <c r="AN111" s="2">
        <v>0</v>
      </c>
      <c r="AO111" s="2">
        <v>0</v>
      </c>
      <c r="AP111" s="2">
        <v>0</v>
      </c>
      <c r="BZ111" s="2"/>
      <c r="CA111" s="19" t="s">
        <v>156</v>
      </c>
      <c r="CB111" s="2">
        <v>0</v>
      </c>
      <c r="CC111" s="2">
        <v>0</v>
      </c>
      <c r="CD111" s="2">
        <v>0</v>
      </c>
      <c r="CE111" s="2">
        <v>0</v>
      </c>
      <c r="CF111" s="2">
        <v>0</v>
      </c>
      <c r="CG111" s="2">
        <v>0</v>
      </c>
      <c r="CH111" s="2">
        <v>0</v>
      </c>
      <c r="CI111" s="2">
        <v>0</v>
      </c>
      <c r="CJ111" s="2">
        <v>0</v>
      </c>
      <c r="CK111" s="2">
        <v>0</v>
      </c>
      <c r="CL111" s="2">
        <v>0</v>
      </c>
      <c r="CM111" s="2">
        <v>0</v>
      </c>
      <c r="CN111" s="2">
        <v>0</v>
      </c>
      <c r="CP111" s="2"/>
    </row>
    <row r="112" spans="29:94" x14ac:dyDescent="0.35">
      <c r="AC112" s="19" t="s">
        <v>157</v>
      </c>
      <c r="AD112" s="2">
        <v>0</v>
      </c>
      <c r="AE112" s="2">
        <v>0</v>
      </c>
      <c r="AF112" s="2">
        <v>0</v>
      </c>
      <c r="AG112" s="2">
        <v>32</v>
      </c>
      <c r="AH112" s="2">
        <v>3</v>
      </c>
      <c r="AI112" s="2">
        <v>0</v>
      </c>
      <c r="AJ112" s="2">
        <v>30</v>
      </c>
      <c r="AK112" s="2">
        <v>6</v>
      </c>
      <c r="AL112" s="2">
        <v>12</v>
      </c>
      <c r="AM112" s="2">
        <v>0</v>
      </c>
      <c r="AN112" s="2">
        <v>0</v>
      </c>
      <c r="AO112" s="2">
        <v>9</v>
      </c>
      <c r="AP112" s="2">
        <v>3</v>
      </c>
      <c r="BZ112" s="2"/>
      <c r="CA112" s="19" t="s">
        <v>157</v>
      </c>
      <c r="CB112" s="2">
        <v>0</v>
      </c>
      <c r="CC112" s="2">
        <v>0</v>
      </c>
      <c r="CD112" s="2">
        <v>0</v>
      </c>
      <c r="CE112" s="2">
        <v>0</v>
      </c>
      <c r="CF112" s="2">
        <v>1</v>
      </c>
      <c r="CG112" s="2">
        <v>0</v>
      </c>
      <c r="CH112" s="2">
        <v>0</v>
      </c>
      <c r="CI112" s="2">
        <v>0</v>
      </c>
      <c r="CJ112" s="2">
        <v>0</v>
      </c>
      <c r="CK112" s="2">
        <v>0</v>
      </c>
      <c r="CL112" s="2">
        <v>5</v>
      </c>
      <c r="CM112" s="2">
        <v>1</v>
      </c>
      <c r="CN112" s="2">
        <v>2</v>
      </c>
      <c r="CP112" s="2"/>
    </row>
    <row r="113" spans="29:94" x14ac:dyDescent="0.35">
      <c r="AC113" s="19" t="s">
        <v>158</v>
      </c>
      <c r="AD113" s="2">
        <v>0</v>
      </c>
      <c r="AE113" s="2">
        <v>0</v>
      </c>
      <c r="AF113" s="2">
        <v>0</v>
      </c>
      <c r="AG113" s="2">
        <v>0</v>
      </c>
      <c r="AH113" s="2">
        <v>0</v>
      </c>
      <c r="AI113" s="2">
        <v>0</v>
      </c>
      <c r="AJ113" s="2">
        <v>0</v>
      </c>
      <c r="AK113" s="2">
        <v>0</v>
      </c>
      <c r="AL113" s="2">
        <v>0</v>
      </c>
      <c r="AM113" s="2">
        <v>0</v>
      </c>
      <c r="AN113" s="2">
        <v>0</v>
      </c>
      <c r="AO113" s="2">
        <v>0</v>
      </c>
      <c r="AP113" s="2">
        <v>0</v>
      </c>
      <c r="BZ113" s="2"/>
      <c r="CA113" s="19" t="s">
        <v>158</v>
      </c>
      <c r="CB113" s="2">
        <v>0</v>
      </c>
      <c r="CC113" s="2">
        <v>0</v>
      </c>
      <c r="CD113" s="2">
        <v>0</v>
      </c>
      <c r="CE113" s="2">
        <v>0</v>
      </c>
      <c r="CF113" s="2">
        <v>0</v>
      </c>
      <c r="CG113" s="2">
        <v>0</v>
      </c>
      <c r="CH113" s="2">
        <v>0</v>
      </c>
      <c r="CI113" s="2">
        <v>0</v>
      </c>
      <c r="CJ113" s="2">
        <v>0</v>
      </c>
      <c r="CK113" s="2">
        <v>0</v>
      </c>
      <c r="CL113" s="2">
        <v>0</v>
      </c>
      <c r="CM113" s="2">
        <v>0</v>
      </c>
      <c r="CN113" s="2">
        <v>0</v>
      </c>
      <c r="CP113" s="2"/>
    </row>
    <row r="114" spans="29:94" x14ac:dyDescent="0.35">
      <c r="AC114" s="19" t="s">
        <v>408</v>
      </c>
      <c r="AD114" s="2">
        <v>0</v>
      </c>
      <c r="AE114" s="2">
        <v>0</v>
      </c>
      <c r="AF114" s="2">
        <v>0</v>
      </c>
      <c r="AG114" s="2">
        <v>0</v>
      </c>
      <c r="AH114" s="2">
        <v>0</v>
      </c>
      <c r="AI114" s="2">
        <v>0</v>
      </c>
      <c r="AJ114" s="2">
        <v>0</v>
      </c>
      <c r="AK114" s="2">
        <v>0</v>
      </c>
      <c r="AL114" s="2">
        <v>0</v>
      </c>
      <c r="AM114" s="2">
        <v>0</v>
      </c>
      <c r="AN114" s="2">
        <v>0</v>
      </c>
      <c r="AO114" s="2">
        <v>0</v>
      </c>
      <c r="AP114" s="2">
        <v>0</v>
      </c>
      <c r="BZ114" s="2"/>
      <c r="CA114" s="19" t="s">
        <v>408</v>
      </c>
      <c r="CB114" s="2">
        <v>0</v>
      </c>
      <c r="CC114" s="2">
        <v>0</v>
      </c>
      <c r="CD114" s="2">
        <v>0</v>
      </c>
      <c r="CE114" s="2">
        <v>0</v>
      </c>
      <c r="CF114" s="2">
        <v>0</v>
      </c>
      <c r="CG114" s="2">
        <v>0</v>
      </c>
      <c r="CH114" s="2">
        <v>0</v>
      </c>
      <c r="CI114" s="2">
        <v>0</v>
      </c>
      <c r="CJ114" s="2">
        <v>0</v>
      </c>
      <c r="CK114" s="2">
        <v>0</v>
      </c>
      <c r="CL114" s="2">
        <v>0</v>
      </c>
      <c r="CM114" s="2">
        <v>0</v>
      </c>
      <c r="CN114" s="2">
        <v>0</v>
      </c>
      <c r="CP114" s="2"/>
    </row>
    <row r="115" spans="29:94" x14ac:dyDescent="0.35">
      <c r="AC115" s="19" t="s">
        <v>159</v>
      </c>
      <c r="AD115" s="2">
        <v>0</v>
      </c>
      <c r="AE115" s="2">
        <v>0</v>
      </c>
      <c r="AF115" s="2">
        <v>0</v>
      </c>
      <c r="AG115" s="2">
        <v>0</v>
      </c>
      <c r="AH115" s="2">
        <v>0</v>
      </c>
      <c r="AI115" s="2">
        <v>0</v>
      </c>
      <c r="AJ115" s="2">
        <v>0</v>
      </c>
      <c r="AK115" s="2">
        <v>0</v>
      </c>
      <c r="AL115" s="2">
        <v>0</v>
      </c>
      <c r="AM115" s="2">
        <v>0</v>
      </c>
      <c r="AN115" s="2">
        <v>0</v>
      </c>
      <c r="AO115" s="2">
        <v>0</v>
      </c>
      <c r="AP115" s="2">
        <v>0</v>
      </c>
      <c r="BZ115" s="2"/>
      <c r="CA115" s="19" t="s">
        <v>159</v>
      </c>
      <c r="CB115" s="2">
        <v>0</v>
      </c>
      <c r="CC115" s="2">
        <v>0</v>
      </c>
      <c r="CD115" s="2">
        <v>0</v>
      </c>
      <c r="CE115" s="2">
        <v>0</v>
      </c>
      <c r="CF115" s="2">
        <v>0</v>
      </c>
      <c r="CG115" s="2">
        <v>0</v>
      </c>
      <c r="CH115" s="2">
        <v>0</v>
      </c>
      <c r="CI115" s="2">
        <v>0</v>
      </c>
      <c r="CJ115" s="2">
        <v>0</v>
      </c>
      <c r="CK115" s="2">
        <v>0</v>
      </c>
      <c r="CL115" s="2">
        <v>0</v>
      </c>
      <c r="CM115" s="2">
        <v>0</v>
      </c>
      <c r="CN115" s="2">
        <v>0</v>
      </c>
      <c r="CP115" s="2"/>
    </row>
    <row r="116" spans="29:94" x14ac:dyDescent="0.35">
      <c r="AC116" s="19" t="s">
        <v>437</v>
      </c>
      <c r="AD116" s="2">
        <v>0</v>
      </c>
      <c r="AE116" s="2">
        <v>0</v>
      </c>
      <c r="AF116" s="2">
        <v>0</v>
      </c>
      <c r="AG116" s="2">
        <v>0</v>
      </c>
      <c r="AH116" s="2">
        <v>0</v>
      </c>
      <c r="AI116" s="2">
        <v>0</v>
      </c>
      <c r="AJ116" s="2">
        <v>0</v>
      </c>
      <c r="AK116" s="2">
        <v>0</v>
      </c>
      <c r="AL116" s="2">
        <v>0</v>
      </c>
      <c r="AM116" s="2">
        <v>0</v>
      </c>
      <c r="AN116" s="2">
        <v>0</v>
      </c>
      <c r="AO116" s="2">
        <v>0</v>
      </c>
      <c r="AP116" s="2">
        <v>0</v>
      </c>
      <c r="BZ116" s="2"/>
      <c r="CA116" s="19" t="s">
        <v>437</v>
      </c>
      <c r="CB116" s="2">
        <v>0</v>
      </c>
      <c r="CC116" s="2">
        <v>0</v>
      </c>
      <c r="CD116" s="2">
        <v>0</v>
      </c>
      <c r="CE116" s="2">
        <v>0</v>
      </c>
      <c r="CF116" s="2">
        <v>0</v>
      </c>
      <c r="CG116" s="2">
        <v>0</v>
      </c>
      <c r="CH116" s="2">
        <v>0</v>
      </c>
      <c r="CI116" s="2">
        <v>0</v>
      </c>
      <c r="CJ116" s="2">
        <v>0</v>
      </c>
      <c r="CK116" s="2">
        <v>0</v>
      </c>
      <c r="CL116" s="2">
        <v>0</v>
      </c>
      <c r="CM116" s="2">
        <v>0</v>
      </c>
      <c r="CN116" s="2">
        <v>0</v>
      </c>
      <c r="CP116" s="2"/>
    </row>
    <row r="117" spans="29:94" x14ac:dyDescent="0.35">
      <c r="AC117" s="19" t="s">
        <v>225</v>
      </c>
      <c r="AD117" s="2">
        <v>0</v>
      </c>
      <c r="AE117" s="2">
        <v>0</v>
      </c>
      <c r="AF117" s="2">
        <v>0</v>
      </c>
      <c r="AG117" s="2">
        <v>0</v>
      </c>
      <c r="AH117" s="2">
        <v>0</v>
      </c>
      <c r="AI117" s="2">
        <v>0</v>
      </c>
      <c r="AJ117" s="2">
        <v>0</v>
      </c>
      <c r="AK117" s="2">
        <v>0</v>
      </c>
      <c r="AL117" s="2">
        <v>0</v>
      </c>
      <c r="AM117" s="2">
        <v>0</v>
      </c>
      <c r="AN117" s="2">
        <v>0</v>
      </c>
      <c r="AO117" s="2">
        <v>0</v>
      </c>
      <c r="AP117" s="2">
        <v>0</v>
      </c>
      <c r="BZ117" s="2"/>
      <c r="CA117" s="19" t="s">
        <v>225</v>
      </c>
      <c r="CB117" s="2">
        <v>0</v>
      </c>
      <c r="CC117" s="2">
        <v>0</v>
      </c>
      <c r="CD117" s="2">
        <v>0</v>
      </c>
      <c r="CE117" s="2">
        <v>0</v>
      </c>
      <c r="CF117" s="2">
        <v>0</v>
      </c>
      <c r="CG117" s="2">
        <v>0</v>
      </c>
      <c r="CH117" s="2">
        <v>0</v>
      </c>
      <c r="CI117" s="2">
        <v>0</v>
      </c>
      <c r="CJ117" s="2">
        <v>0</v>
      </c>
      <c r="CK117" s="2">
        <v>0</v>
      </c>
      <c r="CL117" s="2">
        <v>0</v>
      </c>
      <c r="CM117" s="2">
        <v>0</v>
      </c>
      <c r="CN117" s="2">
        <v>0</v>
      </c>
      <c r="CP117" s="2"/>
    </row>
    <row r="118" spans="29:94" x14ac:dyDescent="0.35">
      <c r="AC118" s="19" t="s">
        <v>160</v>
      </c>
      <c r="AD118" s="2">
        <v>0</v>
      </c>
      <c r="AE118" s="2">
        <v>36</v>
      </c>
      <c r="AF118" s="2">
        <v>19</v>
      </c>
      <c r="AG118" s="2">
        <v>0</v>
      </c>
      <c r="AH118" s="2">
        <v>0</v>
      </c>
      <c r="AI118" s="2">
        <v>0</v>
      </c>
      <c r="AJ118" s="2">
        <v>0</v>
      </c>
      <c r="AK118" s="2">
        <v>0</v>
      </c>
      <c r="AL118" s="2">
        <v>0</v>
      </c>
      <c r="AM118" s="2">
        <v>0</v>
      </c>
      <c r="AN118" s="2">
        <v>0</v>
      </c>
      <c r="AO118" s="2">
        <v>0</v>
      </c>
      <c r="AP118" s="2">
        <v>0</v>
      </c>
      <c r="BZ118" s="2"/>
      <c r="CA118" s="19" t="s">
        <v>160</v>
      </c>
      <c r="CB118" s="2">
        <v>0</v>
      </c>
      <c r="CC118" s="2">
        <v>0</v>
      </c>
      <c r="CD118" s="2">
        <v>0</v>
      </c>
      <c r="CE118" s="2">
        <v>0</v>
      </c>
      <c r="CF118" s="2">
        <v>0</v>
      </c>
      <c r="CG118" s="2">
        <v>10</v>
      </c>
      <c r="CH118" s="2">
        <v>1</v>
      </c>
      <c r="CI118" s="2">
        <v>0</v>
      </c>
      <c r="CJ118" s="2">
        <v>0</v>
      </c>
      <c r="CK118" s="2">
        <v>0</v>
      </c>
      <c r="CL118" s="2">
        <v>0</v>
      </c>
      <c r="CM118" s="2">
        <v>0</v>
      </c>
      <c r="CN118" s="2">
        <v>0</v>
      </c>
      <c r="CP118" s="2"/>
    </row>
    <row r="119" spans="29:94" x14ac:dyDescent="0.35">
      <c r="AC119" s="19" t="s">
        <v>161</v>
      </c>
      <c r="AD119" s="2">
        <v>0</v>
      </c>
      <c r="AE119" s="2">
        <v>0</v>
      </c>
      <c r="AF119" s="2">
        <v>0</v>
      </c>
      <c r="AG119" s="2">
        <v>0</v>
      </c>
      <c r="AH119" s="2">
        <v>0</v>
      </c>
      <c r="AI119" s="2">
        <v>0</v>
      </c>
      <c r="AJ119" s="2">
        <v>0</v>
      </c>
      <c r="AK119" s="2">
        <v>0</v>
      </c>
      <c r="AL119" s="2">
        <v>0</v>
      </c>
      <c r="AM119" s="2">
        <v>0</v>
      </c>
      <c r="AN119" s="2">
        <v>0</v>
      </c>
      <c r="AO119" s="2">
        <v>0</v>
      </c>
      <c r="AP119" s="2">
        <v>0</v>
      </c>
      <c r="BZ119" s="2"/>
      <c r="CA119" s="19" t="s">
        <v>161</v>
      </c>
      <c r="CB119" s="2">
        <v>0</v>
      </c>
      <c r="CC119" s="2">
        <v>0</v>
      </c>
      <c r="CD119" s="2">
        <v>0</v>
      </c>
      <c r="CE119" s="2">
        <v>0</v>
      </c>
      <c r="CF119" s="2">
        <v>0</v>
      </c>
      <c r="CG119" s="2">
        <v>0</v>
      </c>
      <c r="CH119" s="2">
        <v>0</v>
      </c>
      <c r="CI119" s="2">
        <v>0</v>
      </c>
      <c r="CJ119" s="2">
        <v>0</v>
      </c>
      <c r="CK119" s="2">
        <v>0</v>
      </c>
      <c r="CL119" s="2">
        <v>0</v>
      </c>
      <c r="CM119" s="2">
        <v>0</v>
      </c>
      <c r="CN119" s="2">
        <v>0</v>
      </c>
      <c r="CP119" s="2"/>
    </row>
    <row r="120" spans="29:94" x14ac:dyDescent="0.35">
      <c r="AC120" s="19" t="s">
        <v>162</v>
      </c>
      <c r="AD120" s="2">
        <v>0</v>
      </c>
      <c r="AE120" s="2">
        <v>0</v>
      </c>
      <c r="AF120" s="2">
        <v>0</v>
      </c>
      <c r="AG120" s="2">
        <v>0</v>
      </c>
      <c r="AH120" s="2">
        <v>0</v>
      </c>
      <c r="AI120" s="2">
        <v>0</v>
      </c>
      <c r="AJ120" s="2">
        <v>0</v>
      </c>
      <c r="AK120" s="2">
        <v>0</v>
      </c>
      <c r="AL120" s="2">
        <v>0</v>
      </c>
      <c r="AM120" s="2">
        <v>0</v>
      </c>
      <c r="AN120" s="2">
        <v>0</v>
      </c>
      <c r="AO120" s="2">
        <v>0</v>
      </c>
      <c r="AP120" s="2">
        <v>0</v>
      </c>
      <c r="BZ120" s="2"/>
      <c r="CA120" s="19" t="s">
        <v>162</v>
      </c>
      <c r="CB120" s="2">
        <v>0</v>
      </c>
      <c r="CC120" s="2">
        <v>0</v>
      </c>
      <c r="CD120" s="2">
        <v>0</v>
      </c>
      <c r="CE120" s="2">
        <v>0</v>
      </c>
      <c r="CF120" s="2">
        <v>0</v>
      </c>
      <c r="CG120" s="2">
        <v>0</v>
      </c>
      <c r="CH120" s="2">
        <v>0</v>
      </c>
      <c r="CI120" s="2">
        <v>0</v>
      </c>
      <c r="CJ120" s="2">
        <v>0</v>
      </c>
      <c r="CK120" s="2">
        <v>0</v>
      </c>
      <c r="CL120" s="2">
        <v>0</v>
      </c>
      <c r="CM120" s="2">
        <v>0</v>
      </c>
      <c r="CN120" s="2">
        <v>0</v>
      </c>
      <c r="CP120" s="2"/>
    </row>
    <row r="121" spans="29:94" x14ac:dyDescent="0.35">
      <c r="AC121" s="19" t="s">
        <v>222</v>
      </c>
      <c r="AD121" s="2">
        <v>0</v>
      </c>
      <c r="AE121" s="2">
        <v>0</v>
      </c>
      <c r="AF121" s="2">
        <v>0</v>
      </c>
      <c r="AG121" s="2">
        <v>0</v>
      </c>
      <c r="AH121" s="2">
        <v>0</v>
      </c>
      <c r="AI121" s="2">
        <v>0</v>
      </c>
      <c r="AJ121" s="2">
        <v>0</v>
      </c>
      <c r="AK121" s="2">
        <v>0</v>
      </c>
      <c r="AL121" s="2">
        <v>0</v>
      </c>
      <c r="AM121" s="2">
        <v>0</v>
      </c>
      <c r="AN121" s="2">
        <v>0</v>
      </c>
      <c r="AO121" s="2">
        <v>0</v>
      </c>
      <c r="AP121" s="2">
        <v>0</v>
      </c>
      <c r="BZ121" s="2"/>
      <c r="CA121" s="19" t="s">
        <v>222</v>
      </c>
      <c r="CB121" s="2">
        <v>0</v>
      </c>
      <c r="CC121" s="2">
        <v>0</v>
      </c>
      <c r="CD121" s="2">
        <v>0</v>
      </c>
      <c r="CE121" s="2">
        <v>0</v>
      </c>
      <c r="CF121" s="2">
        <v>0</v>
      </c>
      <c r="CG121" s="2">
        <v>0</v>
      </c>
      <c r="CH121" s="2">
        <v>0</v>
      </c>
      <c r="CI121" s="2">
        <v>0</v>
      </c>
      <c r="CJ121" s="2">
        <v>0</v>
      </c>
      <c r="CK121" s="2">
        <v>0</v>
      </c>
      <c r="CL121" s="2">
        <v>0</v>
      </c>
      <c r="CM121" s="2">
        <v>0</v>
      </c>
      <c r="CN121" s="2">
        <v>0</v>
      </c>
      <c r="CP121" s="2"/>
    </row>
    <row r="122" spans="29:94" x14ac:dyDescent="0.35">
      <c r="AC122" s="19" t="s">
        <v>163</v>
      </c>
      <c r="AD122" s="2">
        <v>0</v>
      </c>
      <c r="AE122" s="2">
        <v>0</v>
      </c>
      <c r="AF122" s="2">
        <v>0</v>
      </c>
      <c r="AG122" s="2">
        <v>0</v>
      </c>
      <c r="AH122" s="2">
        <v>0</v>
      </c>
      <c r="AI122" s="2">
        <v>0</v>
      </c>
      <c r="AJ122" s="2">
        <v>0</v>
      </c>
      <c r="AK122" s="2">
        <v>0</v>
      </c>
      <c r="AL122" s="2">
        <v>0</v>
      </c>
      <c r="AM122" s="2">
        <v>0</v>
      </c>
      <c r="AN122" s="2">
        <v>0</v>
      </c>
      <c r="AO122" s="2">
        <v>0</v>
      </c>
      <c r="AP122" s="2">
        <v>0</v>
      </c>
      <c r="BZ122" s="2"/>
      <c r="CA122" s="19" t="s">
        <v>163</v>
      </c>
      <c r="CB122" s="2">
        <v>0</v>
      </c>
      <c r="CC122" s="2">
        <v>0</v>
      </c>
      <c r="CD122" s="2">
        <v>0</v>
      </c>
      <c r="CE122" s="2">
        <v>0</v>
      </c>
      <c r="CF122" s="2">
        <v>0</v>
      </c>
      <c r="CG122" s="2">
        <v>0</v>
      </c>
      <c r="CH122" s="2">
        <v>0</v>
      </c>
      <c r="CI122" s="2">
        <v>0</v>
      </c>
      <c r="CJ122" s="2">
        <v>0</v>
      </c>
      <c r="CK122" s="2">
        <v>0</v>
      </c>
      <c r="CL122" s="2">
        <v>0</v>
      </c>
      <c r="CM122" s="2">
        <v>0</v>
      </c>
      <c r="CN122" s="2">
        <v>0</v>
      </c>
      <c r="CP122" s="2"/>
    </row>
    <row r="123" spans="29:94" x14ac:dyDescent="0.35">
      <c r="AC123" s="19" t="s">
        <v>434</v>
      </c>
      <c r="AD123" s="2">
        <v>0</v>
      </c>
      <c r="AE123" s="2">
        <v>0</v>
      </c>
      <c r="AF123" s="2">
        <v>0</v>
      </c>
      <c r="AG123" s="2">
        <v>0</v>
      </c>
      <c r="AH123" s="2">
        <v>0</v>
      </c>
      <c r="AI123" s="2">
        <v>0</v>
      </c>
      <c r="AJ123" s="2">
        <v>0</v>
      </c>
      <c r="AK123" s="2">
        <v>0</v>
      </c>
      <c r="AL123" s="2">
        <v>0</v>
      </c>
      <c r="AM123" s="2">
        <v>0</v>
      </c>
      <c r="AN123" s="2">
        <v>0</v>
      </c>
      <c r="AO123" s="2">
        <v>0</v>
      </c>
      <c r="AP123" s="2">
        <v>0</v>
      </c>
      <c r="BZ123" s="2"/>
      <c r="CA123" s="19" t="s">
        <v>434</v>
      </c>
      <c r="CB123" s="2">
        <v>0</v>
      </c>
      <c r="CC123" s="2">
        <v>0</v>
      </c>
      <c r="CD123" s="2">
        <v>0</v>
      </c>
      <c r="CE123" s="2">
        <v>0</v>
      </c>
      <c r="CF123" s="2">
        <v>0</v>
      </c>
      <c r="CG123" s="2">
        <v>0</v>
      </c>
      <c r="CH123" s="2">
        <v>0</v>
      </c>
      <c r="CI123" s="2">
        <v>0</v>
      </c>
      <c r="CJ123" s="2">
        <v>0</v>
      </c>
      <c r="CK123" s="2">
        <v>0</v>
      </c>
      <c r="CL123" s="2">
        <v>0</v>
      </c>
      <c r="CM123" s="2">
        <v>0</v>
      </c>
      <c r="CN123" s="2">
        <v>0</v>
      </c>
      <c r="CP123" s="2"/>
    </row>
    <row r="124" spans="29:94" x14ac:dyDescent="0.35">
      <c r="AC124" s="19" t="s">
        <v>164</v>
      </c>
      <c r="AD124" s="2">
        <v>0</v>
      </c>
      <c r="AE124" s="2">
        <v>0</v>
      </c>
      <c r="AF124" s="2">
        <v>0</v>
      </c>
      <c r="AG124" s="2">
        <v>0</v>
      </c>
      <c r="AH124" s="2">
        <v>0</v>
      </c>
      <c r="AI124" s="2">
        <v>0</v>
      </c>
      <c r="AJ124" s="2">
        <v>0</v>
      </c>
      <c r="AK124" s="2">
        <v>0</v>
      </c>
      <c r="AL124" s="2">
        <v>0</v>
      </c>
      <c r="AM124" s="2">
        <v>0</v>
      </c>
      <c r="AN124" s="2">
        <v>0</v>
      </c>
      <c r="AO124" s="2">
        <v>0</v>
      </c>
      <c r="AP124" s="2">
        <v>0</v>
      </c>
      <c r="BZ124" s="2"/>
      <c r="CA124" s="19" t="s">
        <v>164</v>
      </c>
      <c r="CB124" s="2">
        <v>0</v>
      </c>
      <c r="CC124" s="2">
        <v>0</v>
      </c>
      <c r="CD124" s="2">
        <v>0</v>
      </c>
      <c r="CE124" s="2">
        <v>0</v>
      </c>
      <c r="CF124" s="2">
        <v>0</v>
      </c>
      <c r="CG124" s="2">
        <v>0</v>
      </c>
      <c r="CH124" s="2">
        <v>0</v>
      </c>
      <c r="CI124" s="2">
        <v>0</v>
      </c>
      <c r="CJ124" s="2">
        <v>0</v>
      </c>
      <c r="CK124" s="2">
        <v>0</v>
      </c>
      <c r="CL124" s="2">
        <v>0</v>
      </c>
      <c r="CM124" s="2">
        <v>0</v>
      </c>
      <c r="CN124" s="2">
        <v>0</v>
      </c>
      <c r="CP124" s="2"/>
    </row>
    <row r="125" spans="29:94" x14ac:dyDescent="0.35">
      <c r="AC125" s="19" t="s">
        <v>165</v>
      </c>
      <c r="AD125" s="2">
        <v>0</v>
      </c>
      <c r="AE125" s="2">
        <v>0</v>
      </c>
      <c r="AF125" s="2">
        <v>0</v>
      </c>
      <c r="AG125" s="2">
        <v>0</v>
      </c>
      <c r="AH125" s="2">
        <v>0</v>
      </c>
      <c r="AI125" s="2">
        <v>0</v>
      </c>
      <c r="AJ125" s="2">
        <v>0</v>
      </c>
      <c r="AK125" s="2">
        <v>0</v>
      </c>
      <c r="AL125" s="2">
        <v>0</v>
      </c>
      <c r="AM125" s="2">
        <v>0</v>
      </c>
      <c r="AN125" s="2">
        <v>0</v>
      </c>
      <c r="AO125" s="2">
        <v>0</v>
      </c>
      <c r="AP125" s="2">
        <v>0</v>
      </c>
      <c r="BZ125" s="2"/>
      <c r="CA125" s="19" t="s">
        <v>165</v>
      </c>
      <c r="CB125" s="2">
        <v>0</v>
      </c>
      <c r="CC125" s="2">
        <v>0</v>
      </c>
      <c r="CD125" s="2">
        <v>0</v>
      </c>
      <c r="CE125" s="2">
        <v>0</v>
      </c>
      <c r="CF125" s="2">
        <v>0</v>
      </c>
      <c r="CG125" s="2">
        <v>0</v>
      </c>
      <c r="CH125" s="2">
        <v>0</v>
      </c>
      <c r="CI125" s="2">
        <v>0</v>
      </c>
      <c r="CJ125" s="2">
        <v>0</v>
      </c>
      <c r="CK125" s="2">
        <v>0</v>
      </c>
      <c r="CL125" s="2">
        <v>0</v>
      </c>
      <c r="CM125" s="2">
        <v>0</v>
      </c>
      <c r="CN125" s="2">
        <v>0</v>
      </c>
      <c r="CP125" s="2"/>
    </row>
    <row r="126" spans="29:94" x14ac:dyDescent="0.35">
      <c r="AC126" s="19" t="s">
        <v>166</v>
      </c>
      <c r="AD126" s="2">
        <v>0</v>
      </c>
      <c r="AE126" s="2">
        <v>0</v>
      </c>
      <c r="AF126" s="2">
        <v>0</v>
      </c>
      <c r="AG126" s="2">
        <v>0</v>
      </c>
      <c r="AH126" s="2">
        <v>0</v>
      </c>
      <c r="AI126" s="2">
        <v>0</v>
      </c>
      <c r="AJ126" s="2">
        <v>0</v>
      </c>
      <c r="AK126" s="2">
        <v>0</v>
      </c>
      <c r="AL126" s="2">
        <v>0</v>
      </c>
      <c r="AM126" s="2">
        <v>0</v>
      </c>
      <c r="AN126" s="2">
        <v>0</v>
      </c>
      <c r="AO126" s="2">
        <v>0</v>
      </c>
      <c r="AP126" s="2">
        <v>0</v>
      </c>
      <c r="BZ126" s="2"/>
      <c r="CA126" s="19" t="s">
        <v>166</v>
      </c>
      <c r="CB126" s="2">
        <v>0</v>
      </c>
      <c r="CC126" s="2">
        <v>0</v>
      </c>
      <c r="CD126" s="2">
        <v>0</v>
      </c>
      <c r="CE126" s="2">
        <v>0</v>
      </c>
      <c r="CF126" s="2">
        <v>0</v>
      </c>
      <c r="CG126" s="2">
        <v>0</v>
      </c>
      <c r="CH126" s="2">
        <v>0</v>
      </c>
      <c r="CI126" s="2">
        <v>0</v>
      </c>
      <c r="CJ126" s="2">
        <v>0</v>
      </c>
      <c r="CK126" s="2">
        <v>0</v>
      </c>
      <c r="CL126" s="2">
        <v>0</v>
      </c>
      <c r="CM126" s="2">
        <v>0</v>
      </c>
      <c r="CN126" s="2">
        <v>0</v>
      </c>
      <c r="CP126" s="2"/>
    </row>
    <row r="127" spans="29:94" x14ac:dyDescent="0.35">
      <c r="AC127" s="19" t="s">
        <v>167</v>
      </c>
      <c r="AD127" s="2">
        <v>0</v>
      </c>
      <c r="AE127" s="2">
        <v>8</v>
      </c>
      <c r="AF127" s="2">
        <v>0</v>
      </c>
      <c r="AG127" s="2">
        <v>0</v>
      </c>
      <c r="AH127" s="2">
        <v>0</v>
      </c>
      <c r="AI127" s="2">
        <v>0</v>
      </c>
      <c r="AJ127" s="2">
        <v>0</v>
      </c>
      <c r="AK127" s="2">
        <v>0</v>
      </c>
      <c r="AL127" s="2">
        <v>0</v>
      </c>
      <c r="AM127" s="2">
        <v>0</v>
      </c>
      <c r="AN127" s="2">
        <v>0</v>
      </c>
      <c r="AO127" s="2">
        <v>0</v>
      </c>
      <c r="AP127" s="2">
        <v>0</v>
      </c>
      <c r="BZ127" s="2"/>
      <c r="CA127" s="19" t="s">
        <v>167</v>
      </c>
      <c r="CB127" s="2">
        <v>0</v>
      </c>
      <c r="CC127" s="2">
        <v>0</v>
      </c>
      <c r="CD127" s="2">
        <v>0</v>
      </c>
      <c r="CE127" s="2">
        <v>0</v>
      </c>
      <c r="CF127" s="2">
        <v>0</v>
      </c>
      <c r="CG127" s="2">
        <v>8</v>
      </c>
      <c r="CH127" s="2">
        <v>0</v>
      </c>
      <c r="CI127" s="2">
        <v>0</v>
      </c>
      <c r="CJ127" s="2">
        <v>0</v>
      </c>
      <c r="CK127" s="2">
        <v>0</v>
      </c>
      <c r="CL127" s="2">
        <v>0</v>
      </c>
      <c r="CM127" s="2">
        <v>0</v>
      </c>
      <c r="CN127" s="2">
        <v>0</v>
      </c>
      <c r="CP127" s="2"/>
    </row>
    <row r="128" spans="29:94" x14ac:dyDescent="0.35">
      <c r="AC128" s="19" t="s">
        <v>168</v>
      </c>
      <c r="AD128" s="2">
        <v>0</v>
      </c>
      <c r="AE128" s="2">
        <v>0</v>
      </c>
      <c r="AF128" s="2">
        <v>0</v>
      </c>
      <c r="AG128" s="2">
        <v>0</v>
      </c>
      <c r="AH128" s="2">
        <v>0</v>
      </c>
      <c r="AI128" s="2">
        <v>0</v>
      </c>
      <c r="AJ128" s="2">
        <v>0</v>
      </c>
      <c r="AK128" s="2">
        <v>0</v>
      </c>
      <c r="AL128" s="2">
        <v>0</v>
      </c>
      <c r="AM128" s="2">
        <v>0</v>
      </c>
      <c r="AN128" s="2">
        <v>0</v>
      </c>
      <c r="AO128" s="2">
        <v>0</v>
      </c>
      <c r="AP128" s="2">
        <v>0</v>
      </c>
      <c r="BZ128" s="2"/>
      <c r="CA128" s="19" t="s">
        <v>168</v>
      </c>
      <c r="CB128" s="2">
        <v>0</v>
      </c>
      <c r="CC128" s="2">
        <v>0</v>
      </c>
      <c r="CD128" s="2">
        <v>0</v>
      </c>
      <c r="CE128" s="2">
        <v>0</v>
      </c>
      <c r="CF128" s="2">
        <v>0</v>
      </c>
      <c r="CG128" s="2">
        <v>0</v>
      </c>
      <c r="CH128" s="2">
        <v>0</v>
      </c>
      <c r="CI128" s="2">
        <v>0</v>
      </c>
      <c r="CJ128" s="2">
        <v>0</v>
      </c>
      <c r="CK128" s="2">
        <v>0</v>
      </c>
      <c r="CL128" s="2">
        <v>0</v>
      </c>
      <c r="CM128" s="2">
        <v>0</v>
      </c>
      <c r="CN128" s="2">
        <v>0</v>
      </c>
      <c r="CP128" s="2"/>
    </row>
    <row r="129" spans="29:94" x14ac:dyDescent="0.35">
      <c r="AC129" s="19" t="s">
        <v>169</v>
      </c>
      <c r="AD129" s="2">
        <v>0</v>
      </c>
      <c r="AE129" s="2">
        <v>0</v>
      </c>
      <c r="AF129" s="2">
        <v>0</v>
      </c>
      <c r="AG129" s="2">
        <v>0</v>
      </c>
      <c r="AH129" s="2">
        <v>0</v>
      </c>
      <c r="AI129" s="2">
        <v>4</v>
      </c>
      <c r="AJ129" s="2">
        <v>0</v>
      </c>
      <c r="AK129" s="2">
        <v>0</v>
      </c>
      <c r="AL129" s="2">
        <v>2</v>
      </c>
      <c r="AM129" s="2">
        <v>2</v>
      </c>
      <c r="AN129" s="2">
        <v>4</v>
      </c>
      <c r="AO129" s="2">
        <v>0</v>
      </c>
      <c r="AP129" s="2">
        <v>0</v>
      </c>
      <c r="BZ129" s="2"/>
      <c r="CA129" s="19" t="s">
        <v>169</v>
      </c>
      <c r="CB129" s="2">
        <v>0</v>
      </c>
      <c r="CC129" s="2">
        <v>1</v>
      </c>
      <c r="CD129" s="2">
        <v>1</v>
      </c>
      <c r="CE129" s="2">
        <v>0</v>
      </c>
      <c r="CF129" s="2">
        <v>0</v>
      </c>
      <c r="CG129" s="2">
        <v>0</v>
      </c>
      <c r="CH129" s="2">
        <v>0</v>
      </c>
      <c r="CI129" s="2">
        <v>0</v>
      </c>
      <c r="CJ129" s="2">
        <v>0</v>
      </c>
      <c r="CK129" s="2">
        <v>2</v>
      </c>
      <c r="CL129" s="2">
        <v>0</v>
      </c>
      <c r="CM129" s="2">
        <v>0</v>
      </c>
      <c r="CN129" s="2">
        <v>1</v>
      </c>
      <c r="CP129" s="2"/>
    </row>
    <row r="130" spans="29:94" x14ac:dyDescent="0.35">
      <c r="AC130" s="19" t="s">
        <v>170</v>
      </c>
      <c r="AD130" s="2">
        <v>0</v>
      </c>
      <c r="AE130" s="2">
        <v>0</v>
      </c>
      <c r="AF130" s="2">
        <v>0</v>
      </c>
      <c r="AG130" s="2">
        <v>0</v>
      </c>
      <c r="AH130" s="2">
        <v>0</v>
      </c>
      <c r="AI130" s="2">
        <v>0</v>
      </c>
      <c r="AJ130" s="2">
        <v>0</v>
      </c>
      <c r="AK130" s="2">
        <v>0</v>
      </c>
      <c r="AL130" s="2">
        <v>0</v>
      </c>
      <c r="AM130" s="2">
        <v>0</v>
      </c>
      <c r="AN130" s="2">
        <v>0</v>
      </c>
      <c r="AO130" s="2">
        <v>0</v>
      </c>
      <c r="AP130" s="2">
        <v>28</v>
      </c>
      <c r="BZ130" s="2"/>
      <c r="CA130" s="19" t="s">
        <v>170</v>
      </c>
      <c r="CB130" s="2">
        <v>0</v>
      </c>
      <c r="CC130" s="2">
        <v>0</v>
      </c>
      <c r="CD130" s="2">
        <v>0</v>
      </c>
      <c r="CE130" s="2">
        <v>0</v>
      </c>
      <c r="CF130" s="2">
        <v>4</v>
      </c>
      <c r="CG130" s="2">
        <v>0</v>
      </c>
      <c r="CH130" s="2">
        <v>0</v>
      </c>
      <c r="CI130" s="2">
        <v>0</v>
      </c>
      <c r="CJ130" s="2">
        <v>0</v>
      </c>
      <c r="CK130" s="2">
        <v>0</v>
      </c>
      <c r="CL130" s="2">
        <v>0</v>
      </c>
      <c r="CM130" s="2">
        <v>0</v>
      </c>
      <c r="CN130" s="2">
        <v>0</v>
      </c>
      <c r="CP130" s="2"/>
    </row>
    <row r="131" spans="29:94" x14ac:dyDescent="0.35">
      <c r="AC131" s="19" t="s">
        <v>171</v>
      </c>
      <c r="AD131" s="2">
        <v>0</v>
      </c>
      <c r="AE131" s="2">
        <v>0</v>
      </c>
      <c r="AF131" s="2">
        <v>0</v>
      </c>
      <c r="AG131" s="2">
        <v>0</v>
      </c>
      <c r="AH131" s="2">
        <v>0</v>
      </c>
      <c r="AI131" s="2">
        <v>0</v>
      </c>
      <c r="AJ131" s="2">
        <v>0</v>
      </c>
      <c r="AK131" s="2">
        <v>0</v>
      </c>
      <c r="AL131" s="2">
        <v>0</v>
      </c>
      <c r="AM131" s="2">
        <v>0</v>
      </c>
      <c r="AN131" s="2">
        <v>0</v>
      </c>
      <c r="AO131" s="2">
        <v>0</v>
      </c>
      <c r="AP131" s="2">
        <v>0</v>
      </c>
      <c r="BZ131" s="2"/>
      <c r="CA131" s="19" t="s">
        <v>171</v>
      </c>
      <c r="CB131" s="2">
        <v>0</v>
      </c>
      <c r="CC131" s="2">
        <v>0</v>
      </c>
      <c r="CD131" s="2">
        <v>0</v>
      </c>
      <c r="CE131" s="2">
        <v>0</v>
      </c>
      <c r="CF131" s="2">
        <v>0</v>
      </c>
      <c r="CG131" s="2">
        <v>0</v>
      </c>
      <c r="CH131" s="2">
        <v>0</v>
      </c>
      <c r="CI131" s="2">
        <v>0</v>
      </c>
      <c r="CJ131" s="2">
        <v>0</v>
      </c>
      <c r="CK131" s="2">
        <v>0</v>
      </c>
      <c r="CL131" s="2">
        <v>0</v>
      </c>
      <c r="CM131" s="2">
        <v>0</v>
      </c>
      <c r="CN131" s="2">
        <v>0</v>
      </c>
      <c r="CP131" s="2"/>
    </row>
    <row r="132" spans="29:94" x14ac:dyDescent="0.35">
      <c r="AC132" s="19" t="s">
        <v>172</v>
      </c>
      <c r="AD132" s="2">
        <v>0</v>
      </c>
      <c r="AE132" s="2">
        <v>0</v>
      </c>
      <c r="AF132" s="2">
        <v>0</v>
      </c>
      <c r="AG132" s="2">
        <v>0</v>
      </c>
      <c r="AH132" s="2">
        <v>0</v>
      </c>
      <c r="AI132" s="2">
        <v>0</v>
      </c>
      <c r="AJ132" s="2">
        <v>0</v>
      </c>
      <c r="AK132" s="2">
        <v>0</v>
      </c>
      <c r="AL132" s="2">
        <v>0</v>
      </c>
      <c r="AM132" s="2">
        <v>0</v>
      </c>
      <c r="AN132" s="2">
        <v>0</v>
      </c>
      <c r="AO132" s="2">
        <v>0</v>
      </c>
      <c r="AP132" s="2">
        <v>0</v>
      </c>
      <c r="BZ132" s="2"/>
      <c r="CA132" s="19" t="s">
        <v>172</v>
      </c>
      <c r="CB132" s="2">
        <v>0</v>
      </c>
      <c r="CC132" s="2">
        <v>0</v>
      </c>
      <c r="CD132" s="2">
        <v>0</v>
      </c>
      <c r="CE132" s="2">
        <v>0</v>
      </c>
      <c r="CF132" s="2">
        <v>0</v>
      </c>
      <c r="CG132" s="2">
        <v>0</v>
      </c>
      <c r="CH132" s="2">
        <v>0</v>
      </c>
      <c r="CI132" s="2">
        <v>0</v>
      </c>
      <c r="CJ132" s="2">
        <v>0</v>
      </c>
      <c r="CK132" s="2">
        <v>0</v>
      </c>
      <c r="CL132" s="2">
        <v>0</v>
      </c>
      <c r="CM132" s="2">
        <v>0</v>
      </c>
      <c r="CN132" s="2">
        <v>0</v>
      </c>
      <c r="CP132" s="2"/>
    </row>
    <row r="133" spans="29:94" x14ac:dyDescent="0.35">
      <c r="AC133" s="19" t="s">
        <v>173</v>
      </c>
      <c r="AD133" s="2">
        <v>26</v>
      </c>
      <c r="AE133" s="2">
        <v>10</v>
      </c>
      <c r="AF133" s="2">
        <v>25</v>
      </c>
      <c r="AG133" s="2">
        <v>27</v>
      </c>
      <c r="AH133" s="2">
        <v>33</v>
      </c>
      <c r="AI133" s="2">
        <v>9</v>
      </c>
      <c r="AJ133" s="2">
        <v>0</v>
      </c>
      <c r="AK133" s="2">
        <v>0</v>
      </c>
      <c r="AL133" s="2">
        <v>12</v>
      </c>
      <c r="AM133" s="2">
        <v>4</v>
      </c>
      <c r="AN133" s="2">
        <v>24</v>
      </c>
      <c r="AO133" s="2">
        <v>6</v>
      </c>
      <c r="AP133" s="2">
        <v>0</v>
      </c>
      <c r="BZ133" s="2"/>
      <c r="CA133" s="19" t="s">
        <v>173</v>
      </c>
      <c r="CB133" s="2">
        <v>10</v>
      </c>
      <c r="CC133" s="2">
        <v>3</v>
      </c>
      <c r="CD133" s="2">
        <v>7</v>
      </c>
      <c r="CE133" s="2">
        <v>3</v>
      </c>
      <c r="CF133" s="2">
        <v>0</v>
      </c>
      <c r="CG133" s="2">
        <v>2</v>
      </c>
      <c r="CH133" s="2">
        <v>9</v>
      </c>
      <c r="CI133" s="2">
        <v>6</v>
      </c>
      <c r="CJ133" s="2">
        <v>10</v>
      </c>
      <c r="CK133" s="2">
        <v>2</v>
      </c>
      <c r="CL133" s="2">
        <v>0</v>
      </c>
      <c r="CM133" s="2">
        <v>0</v>
      </c>
      <c r="CN133" s="2">
        <v>6</v>
      </c>
      <c r="CP133" s="2"/>
    </row>
    <row r="134" spans="29:94" x14ac:dyDescent="0.35">
      <c r="BZ134" s="2"/>
      <c r="CP134" s="2"/>
    </row>
    <row r="135" spans="29:94" x14ac:dyDescent="0.35">
      <c r="BZ135" s="2"/>
      <c r="CP135" s="2"/>
    </row>
    <row r="136" spans="29:94" x14ac:dyDescent="0.35">
      <c r="BZ136" s="2"/>
      <c r="CP136" s="2"/>
    </row>
    <row r="137" spans="29:94" x14ac:dyDescent="0.35">
      <c r="BZ137" s="2"/>
      <c r="CP137" s="2"/>
    </row>
    <row r="138" spans="29:94" x14ac:dyDescent="0.35">
      <c r="BZ138" s="2"/>
      <c r="CP138" s="2"/>
    </row>
    <row r="139" spans="29:94" x14ac:dyDescent="0.35">
      <c r="BZ139" s="2"/>
      <c r="CP139" s="2"/>
    </row>
    <row r="140" spans="29:94" x14ac:dyDescent="0.35">
      <c r="BZ140" s="2"/>
      <c r="CP140" s="2"/>
    </row>
    <row r="141" spans="29:94" x14ac:dyDescent="0.35">
      <c r="BZ141" s="2"/>
      <c r="CP141" s="2"/>
    </row>
    <row r="142" spans="29:94" x14ac:dyDescent="0.35">
      <c r="AC142" s="27" t="s">
        <v>43</v>
      </c>
      <c r="AD142" s="27" t="s">
        <v>44</v>
      </c>
      <c r="AE142" s="27" t="s">
        <v>45</v>
      </c>
      <c r="AF142" s="27" t="s">
        <v>46</v>
      </c>
      <c r="AG142" s="27" t="s">
        <v>47</v>
      </c>
      <c r="AH142" s="27" t="s">
        <v>48</v>
      </c>
      <c r="AI142" s="27" t="s">
        <v>49</v>
      </c>
      <c r="AJ142" s="27" t="s">
        <v>50</v>
      </c>
      <c r="AK142" s="27" t="s">
        <v>51</v>
      </c>
      <c r="AL142" s="27" t="s">
        <v>52</v>
      </c>
      <c r="AM142" s="27" t="s">
        <v>53</v>
      </c>
      <c r="AN142" s="27" t="s">
        <v>54</v>
      </c>
      <c r="AO142" s="27" t="s">
        <v>55</v>
      </c>
      <c r="AP142" s="27" t="s">
        <v>56</v>
      </c>
      <c r="BZ142" s="2"/>
      <c r="CP142" s="2"/>
    </row>
    <row r="143" spans="29:94" x14ac:dyDescent="0.35">
      <c r="AC143" s="41">
        <f>IF((COUNTIF(AD7:AD140,"&gt;0"))=0,"",(COUNTIF(AD7:AD140,"&gt;0")))</f>
        <v>21</v>
      </c>
      <c r="AD143" s="41">
        <f>IF((COUNTIF(AE7:AE140,"&gt;0"))=0,"",(COUNTIF(AE7:AE140,"&gt;0")))</f>
        <v>20</v>
      </c>
      <c r="AE143" s="41">
        <f>IF((COUNTIF(AF7:AF140,"&gt;0"))=0,"",(COUNTIF(AF7:AF140,"&gt;0")))</f>
        <v>17</v>
      </c>
      <c r="AF143" s="41">
        <f t="shared" ref="AF143:AG143" si="18">IF((COUNTIF(AG7:AG140,"&gt;0"))=0,"",(COUNTIF(AG7:AG140,"&gt;0")))</f>
        <v>18</v>
      </c>
      <c r="AG143" s="41">
        <f t="shared" si="18"/>
        <v>18</v>
      </c>
      <c r="AH143" s="100">
        <f>IF((COUNTIF(AI7:AI140,"&gt;0"))=0,"",(COUNTIF(AI7:AI140,"&gt;0")))</f>
        <v>16</v>
      </c>
      <c r="AI143" s="100">
        <f t="shared" ref="AI143:AO143" si="19">IF((COUNTIF(AJ7:AJ140,"&gt;0"))=0,"",(COUNTIF(AJ7:AJ140,"&gt;0")))</f>
        <v>9</v>
      </c>
      <c r="AJ143" s="100">
        <f t="shared" si="19"/>
        <v>11</v>
      </c>
      <c r="AK143" s="100">
        <f t="shared" si="19"/>
        <v>12</v>
      </c>
      <c r="AL143" s="100">
        <f t="shared" si="19"/>
        <v>14</v>
      </c>
      <c r="AM143" s="100">
        <f t="shared" si="19"/>
        <v>13</v>
      </c>
      <c r="AN143" s="100">
        <f t="shared" si="19"/>
        <v>14</v>
      </c>
      <c r="AO143" s="100">
        <f t="shared" si="19"/>
        <v>14</v>
      </c>
      <c r="AP143" s="41" t="str">
        <f>IF((COUNTIF(AQ7:AQ140,"&gt;0"))=0,"",(COUNTIF(AQ7:AQ140,"&gt;0")))</f>
        <v/>
      </c>
      <c r="BZ143" s="2"/>
      <c r="CA143" s="27" t="s">
        <v>43</v>
      </c>
      <c r="CB143" s="27" t="s">
        <v>44</v>
      </c>
      <c r="CC143" s="27" t="s">
        <v>45</v>
      </c>
      <c r="CD143" s="27" t="s">
        <v>46</v>
      </c>
      <c r="CE143" s="27" t="s">
        <v>47</v>
      </c>
      <c r="CF143" s="27" t="s">
        <v>48</v>
      </c>
      <c r="CG143" s="27" t="s">
        <v>49</v>
      </c>
      <c r="CH143" s="27" t="s">
        <v>50</v>
      </c>
      <c r="CI143" s="27" t="s">
        <v>51</v>
      </c>
      <c r="CJ143" s="27" t="s">
        <v>52</v>
      </c>
      <c r="CK143" s="27" t="s">
        <v>53</v>
      </c>
      <c r="CL143" s="27" t="s">
        <v>54</v>
      </c>
      <c r="CM143" s="27" t="s">
        <v>55</v>
      </c>
      <c r="CN143" s="27" t="s">
        <v>56</v>
      </c>
      <c r="CP143" s="2"/>
    </row>
    <row r="144" spans="29:94" x14ac:dyDescent="0.35">
      <c r="BZ144" s="2"/>
      <c r="CA144" s="41">
        <f>IF((COUNTIF(CB7:CB140,"&gt;0"))=0,"",(COUNTIF(CB7:CB140,"&gt;0")))</f>
        <v>18</v>
      </c>
      <c r="CB144" s="41">
        <f>IF((COUNTIF(CC7:CC140,"&gt;0"))=0,"",(COUNTIF(CC7:CC140,"&gt;0")))</f>
        <v>10</v>
      </c>
      <c r="CC144" s="41">
        <f>IF((COUNTIF(CD7:CD140,"&gt;0"))=0,"",(COUNTIF(CD7:CD140,"&gt;0")))</f>
        <v>11</v>
      </c>
      <c r="CD144" s="41">
        <f>IF((COUNTIF(CE7:CE140,"&gt;0"))=0,"",(COUNTIF(CE7:CE140,"&gt;0")))</f>
        <v>13</v>
      </c>
      <c r="CE144" s="41">
        <f t="shared" ref="CE144:CM144" si="20">IF((COUNTIF(CF7:CF142,"&gt;0"))=0,"",(COUNTIF(CF7:CF142,"&gt;0")))</f>
        <v>12</v>
      </c>
      <c r="CF144" s="41">
        <f>IF((COUNTIF(CG7:CG142,"&gt;0"))=0,"",(COUNTIF(CG7:CG142,"&gt;0")))</f>
        <v>18</v>
      </c>
      <c r="CG144" s="41">
        <f t="shared" si="20"/>
        <v>16</v>
      </c>
      <c r="CH144" s="41">
        <f t="shared" si="20"/>
        <v>13</v>
      </c>
      <c r="CI144" s="41">
        <f t="shared" si="20"/>
        <v>13</v>
      </c>
      <c r="CJ144" s="41">
        <f t="shared" si="20"/>
        <v>11</v>
      </c>
      <c r="CK144" s="41">
        <f t="shared" si="20"/>
        <v>8</v>
      </c>
      <c r="CL144" s="41">
        <f t="shared" si="20"/>
        <v>11</v>
      </c>
      <c r="CM144" s="41">
        <f t="shared" si="20"/>
        <v>10</v>
      </c>
      <c r="CN144" s="41" t="str">
        <f>IF((COUNTIF(CO7:CO143,"&gt;0"))=0,"",(COUNTIF(CO7:CO143,"&gt;0")))</f>
        <v/>
      </c>
      <c r="CP144" s="2"/>
    </row>
    <row r="146" spans="78:94" x14ac:dyDescent="0.35">
      <c r="BZ146" s="27"/>
      <c r="CP146" s="27"/>
    </row>
    <row r="147" spans="78:94" x14ac:dyDescent="0.35">
      <c r="BZ147" s="41"/>
      <c r="CP147" s="41"/>
    </row>
  </sheetData>
  <mergeCells count="6">
    <mergeCell ref="CR1:CU1"/>
    <mergeCell ref="G1:Y1"/>
    <mergeCell ref="AC1:AQ1"/>
    <mergeCell ref="AS1:AV1"/>
    <mergeCell ref="BD1:BV1"/>
    <mergeCell ref="CA1:CO1"/>
  </mergeCells>
  <pageMargins left="0.7" right="0.7" top="0.75" bottom="0.75" header="0.3" footer="0.3"/>
  <pageSetup paperSize="9" orientation="portrait"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A1C78-9029-400E-8EFF-379849279DCF}">
  <dimension ref="A1:AP892"/>
  <sheetViews>
    <sheetView workbookViewId="0">
      <selection activeCell="B27" sqref="B27"/>
    </sheetView>
  </sheetViews>
  <sheetFormatPr defaultRowHeight="14.5" x14ac:dyDescent="0.35"/>
  <cols>
    <col min="1" max="1" width="22.6328125" bestFit="1" customWidth="1"/>
    <col min="2" max="2" width="25.453125" bestFit="1" customWidth="1"/>
    <col min="3" max="3" width="25.26953125" bestFit="1" customWidth="1"/>
    <col min="4" max="4" width="26.1796875" bestFit="1" customWidth="1"/>
    <col min="5" max="5" width="37.453125" bestFit="1" customWidth="1"/>
    <col min="6" max="6" width="25.1796875" bestFit="1" customWidth="1"/>
    <col min="7" max="7" width="66.90625" bestFit="1" customWidth="1"/>
    <col min="8" max="8" width="24.90625" bestFit="1" customWidth="1"/>
    <col min="9" max="9" width="25.7265625" bestFit="1" customWidth="1"/>
    <col min="10" max="10" width="24.08984375" bestFit="1" customWidth="1"/>
    <col min="11" max="11" width="31.81640625" bestFit="1" customWidth="1"/>
    <col min="12" max="12" width="30.453125" bestFit="1" customWidth="1"/>
    <col min="13" max="13" width="29.36328125" bestFit="1" customWidth="1"/>
    <col min="14" max="16" width="39.90625" bestFit="1" customWidth="1"/>
    <col min="17" max="17" width="38.6328125" bestFit="1" customWidth="1"/>
    <col min="18" max="18" width="40.08984375" bestFit="1" customWidth="1"/>
    <col min="19" max="19" width="36.453125" bestFit="1" customWidth="1"/>
    <col min="20" max="20" width="41.36328125" bestFit="1" customWidth="1"/>
    <col min="21" max="21" width="36.81640625" bestFit="1" customWidth="1"/>
    <col min="22" max="22" width="40.54296875" bestFit="1" customWidth="1"/>
    <col min="23" max="23" width="39.36328125" bestFit="1" customWidth="1"/>
    <col min="24" max="24" width="44.1796875" bestFit="1" customWidth="1"/>
    <col min="25" max="25" width="37.08984375" bestFit="1" customWidth="1"/>
    <col min="26" max="26" width="36" bestFit="1" customWidth="1"/>
    <col min="27" max="27" width="36.90625" bestFit="1" customWidth="1"/>
    <col min="28" max="28" width="35.90625" bestFit="1" customWidth="1"/>
    <col min="29" max="29" width="36.08984375" bestFit="1" customWidth="1"/>
    <col min="30" max="30" width="34.7265625" bestFit="1" customWidth="1"/>
    <col min="31" max="31" width="34.6328125" bestFit="1" customWidth="1"/>
    <col min="32" max="32" width="29" bestFit="1" customWidth="1"/>
    <col min="33" max="33" width="26.54296875" bestFit="1" customWidth="1"/>
    <col min="34" max="34" width="24.6328125" bestFit="1" customWidth="1"/>
    <col min="35" max="35" width="38.26953125" bestFit="1" customWidth="1"/>
    <col min="36" max="36" width="39.26953125" bestFit="1" customWidth="1"/>
    <col min="37" max="37" width="31.54296875" bestFit="1" customWidth="1"/>
    <col min="38" max="38" width="40.453125" bestFit="1" customWidth="1"/>
    <col min="39" max="39" width="42" bestFit="1" customWidth="1"/>
    <col min="40" max="40" width="29.81640625" bestFit="1" customWidth="1"/>
    <col min="41" max="41" width="36.453125" bestFit="1" customWidth="1"/>
    <col min="42" max="42" width="39.26953125" bestFit="1" customWidth="1"/>
  </cols>
  <sheetData>
    <row r="1" spans="1:42" x14ac:dyDescent="0.35">
      <c r="A1" t="s">
        <v>615</v>
      </c>
    </row>
    <row r="3" spans="1:42" x14ac:dyDescent="0.35">
      <c r="A3" t="s">
        <v>446</v>
      </c>
      <c r="B3" t="s">
        <v>447</v>
      </c>
      <c r="C3" t="s">
        <v>448</v>
      </c>
      <c r="D3" t="s">
        <v>449</v>
      </c>
      <c r="E3" t="s">
        <v>450</v>
      </c>
      <c r="F3" t="s">
        <v>451</v>
      </c>
      <c r="G3" t="s">
        <v>452</v>
      </c>
      <c r="H3" t="s">
        <v>453</v>
      </c>
      <c r="I3" t="s">
        <v>454</v>
      </c>
      <c r="J3" t="s">
        <v>455</v>
      </c>
      <c r="K3" t="s">
        <v>456</v>
      </c>
      <c r="L3" t="s">
        <v>457</v>
      </c>
      <c r="M3" t="s">
        <v>458</v>
      </c>
      <c r="N3" t="s">
        <v>459</v>
      </c>
      <c r="O3" t="s">
        <v>460</v>
      </c>
      <c r="P3" t="s">
        <v>461</v>
      </c>
      <c r="Q3" t="s">
        <v>462</v>
      </c>
      <c r="R3" t="s">
        <v>463</v>
      </c>
      <c r="S3" t="s">
        <v>464</v>
      </c>
      <c r="T3" t="s">
        <v>465</v>
      </c>
      <c r="U3" t="s">
        <v>466</v>
      </c>
      <c r="V3" t="s">
        <v>467</v>
      </c>
      <c r="W3" t="s">
        <v>468</v>
      </c>
      <c r="X3" t="s">
        <v>469</v>
      </c>
      <c r="Y3" t="s">
        <v>470</v>
      </c>
      <c r="Z3" t="s">
        <v>471</v>
      </c>
      <c r="AA3" t="s">
        <v>472</v>
      </c>
      <c r="AB3" t="s">
        <v>473</v>
      </c>
      <c r="AC3" t="s">
        <v>474</v>
      </c>
      <c r="AD3" t="s">
        <v>475</v>
      </c>
      <c r="AE3" t="s">
        <v>476</v>
      </c>
      <c r="AF3" t="s">
        <v>477</v>
      </c>
      <c r="AG3" t="s">
        <v>478</v>
      </c>
      <c r="AH3" t="s">
        <v>479</v>
      </c>
      <c r="AI3" t="s">
        <v>480</v>
      </c>
      <c r="AJ3" t="s">
        <v>481</v>
      </c>
      <c r="AK3" t="s">
        <v>482</v>
      </c>
      <c r="AL3" t="s">
        <v>483</v>
      </c>
      <c r="AM3" t="s">
        <v>484</v>
      </c>
      <c r="AN3" t="s">
        <v>485</v>
      </c>
      <c r="AO3" t="s">
        <v>486</v>
      </c>
      <c r="AP3" t="s">
        <v>487</v>
      </c>
    </row>
    <row r="4" spans="1:42" x14ac:dyDescent="0.35">
      <c r="A4">
        <v>97105</v>
      </c>
      <c r="B4">
        <v>8619</v>
      </c>
      <c r="C4">
        <v>950134</v>
      </c>
      <c r="D4">
        <v>334</v>
      </c>
      <c r="E4" s="147">
        <v>44207</v>
      </c>
      <c r="F4" t="s">
        <v>488</v>
      </c>
      <c r="G4" t="s">
        <v>64</v>
      </c>
      <c r="H4" s="147">
        <v>44207</v>
      </c>
      <c r="I4">
        <v>7</v>
      </c>
      <c r="J4" t="s">
        <v>195</v>
      </c>
      <c r="L4">
        <v>0</v>
      </c>
      <c r="M4">
        <v>0</v>
      </c>
      <c r="U4">
        <v>345</v>
      </c>
      <c r="V4">
        <v>290</v>
      </c>
      <c r="W4">
        <v>0</v>
      </c>
      <c r="X4">
        <v>0</v>
      </c>
      <c r="Y4">
        <v>9</v>
      </c>
      <c r="Z4">
        <v>9</v>
      </c>
      <c r="AA4">
        <v>0</v>
      </c>
      <c r="AB4">
        <v>0</v>
      </c>
      <c r="AC4">
        <v>0</v>
      </c>
      <c r="AD4">
        <v>0</v>
      </c>
      <c r="AG4" t="s">
        <v>258</v>
      </c>
      <c r="AH4" t="s">
        <v>435</v>
      </c>
      <c r="AI4">
        <v>136</v>
      </c>
      <c r="AJ4">
        <v>40</v>
      </c>
      <c r="AK4">
        <v>40</v>
      </c>
      <c r="AL4">
        <v>0</v>
      </c>
      <c r="AM4">
        <v>0</v>
      </c>
      <c r="AN4" t="s">
        <v>49</v>
      </c>
      <c r="AO4">
        <v>0.84057971014492749</v>
      </c>
      <c r="AP4">
        <v>69</v>
      </c>
    </row>
    <row r="5" spans="1:42" x14ac:dyDescent="0.35">
      <c r="A5">
        <v>97111</v>
      </c>
      <c r="B5">
        <v>8619</v>
      </c>
      <c r="C5">
        <v>950140</v>
      </c>
      <c r="D5">
        <v>435</v>
      </c>
      <c r="E5" s="147">
        <v>44207</v>
      </c>
      <c r="F5" t="s">
        <v>489</v>
      </c>
      <c r="G5" t="s">
        <v>93</v>
      </c>
      <c r="H5" s="147">
        <v>44207</v>
      </c>
      <c r="I5">
        <v>7</v>
      </c>
      <c r="J5" t="s">
        <v>195</v>
      </c>
      <c r="L5">
        <v>0</v>
      </c>
      <c r="M5">
        <v>0</v>
      </c>
      <c r="U5">
        <v>424</v>
      </c>
      <c r="V5">
        <v>386</v>
      </c>
      <c r="W5">
        <v>0</v>
      </c>
      <c r="X5">
        <v>0</v>
      </c>
      <c r="Y5">
        <v>25</v>
      </c>
      <c r="Z5">
        <v>14</v>
      </c>
      <c r="AA5">
        <v>0</v>
      </c>
      <c r="AB5">
        <v>0</v>
      </c>
      <c r="AC5">
        <v>0</v>
      </c>
      <c r="AD5">
        <v>0</v>
      </c>
      <c r="AG5" t="s">
        <v>258</v>
      </c>
      <c r="AH5" t="s">
        <v>435</v>
      </c>
      <c r="AI5">
        <v>161</v>
      </c>
      <c r="AJ5">
        <v>36</v>
      </c>
      <c r="AK5">
        <v>62</v>
      </c>
      <c r="AL5">
        <v>0</v>
      </c>
      <c r="AM5">
        <v>0</v>
      </c>
      <c r="AN5" t="s">
        <v>49</v>
      </c>
      <c r="AO5">
        <v>0.910377358490566</v>
      </c>
      <c r="AP5">
        <v>70</v>
      </c>
    </row>
    <row r="6" spans="1:42" x14ac:dyDescent="0.35">
      <c r="A6">
        <v>97112</v>
      </c>
      <c r="B6">
        <v>8619</v>
      </c>
      <c r="C6">
        <v>950141</v>
      </c>
      <c r="D6">
        <v>333</v>
      </c>
      <c r="E6" s="147">
        <v>44207</v>
      </c>
      <c r="F6" t="s">
        <v>490</v>
      </c>
      <c r="G6" t="s">
        <v>99</v>
      </c>
      <c r="H6" s="147">
        <v>44207</v>
      </c>
      <c r="I6">
        <v>7</v>
      </c>
      <c r="J6" t="s">
        <v>195</v>
      </c>
      <c r="L6">
        <v>0</v>
      </c>
      <c r="M6">
        <v>0</v>
      </c>
      <c r="U6">
        <v>296</v>
      </c>
      <c r="V6">
        <v>229</v>
      </c>
      <c r="W6">
        <v>0</v>
      </c>
      <c r="X6">
        <v>0</v>
      </c>
      <c r="Y6">
        <v>13</v>
      </c>
      <c r="Z6">
        <v>13</v>
      </c>
      <c r="AA6">
        <v>0</v>
      </c>
      <c r="AB6">
        <v>0</v>
      </c>
      <c r="AC6">
        <v>0</v>
      </c>
      <c r="AD6">
        <v>0</v>
      </c>
      <c r="AG6" t="s">
        <v>258</v>
      </c>
      <c r="AH6" t="s">
        <v>435</v>
      </c>
      <c r="AI6">
        <v>128</v>
      </c>
      <c r="AJ6">
        <v>40</v>
      </c>
      <c r="AK6">
        <v>37</v>
      </c>
      <c r="AL6">
        <v>0</v>
      </c>
      <c r="AM6">
        <v>0</v>
      </c>
      <c r="AN6" t="s">
        <v>49</v>
      </c>
      <c r="AO6">
        <v>0.77364864864864868</v>
      </c>
      <c r="AP6">
        <v>61</v>
      </c>
    </row>
    <row r="7" spans="1:42" x14ac:dyDescent="0.35">
      <c r="A7">
        <v>97155</v>
      </c>
      <c r="B7">
        <v>8619</v>
      </c>
      <c r="C7">
        <v>950184</v>
      </c>
      <c r="D7">
        <v>300</v>
      </c>
      <c r="E7" s="147">
        <v>44207</v>
      </c>
      <c r="F7" t="s">
        <v>491</v>
      </c>
      <c r="G7" t="s">
        <v>102</v>
      </c>
      <c r="H7" s="147">
        <v>44207</v>
      </c>
      <c r="I7">
        <v>7</v>
      </c>
      <c r="J7" t="s">
        <v>195</v>
      </c>
      <c r="L7">
        <v>0</v>
      </c>
      <c r="M7">
        <v>0</v>
      </c>
      <c r="U7">
        <v>233</v>
      </c>
      <c r="V7">
        <v>212</v>
      </c>
      <c r="W7">
        <v>0</v>
      </c>
      <c r="X7">
        <v>0</v>
      </c>
      <c r="Y7">
        <v>15</v>
      </c>
      <c r="Z7">
        <v>13</v>
      </c>
      <c r="AA7">
        <v>0</v>
      </c>
      <c r="AB7">
        <v>0</v>
      </c>
      <c r="AC7">
        <v>0</v>
      </c>
      <c r="AD7">
        <v>0</v>
      </c>
      <c r="AG7" t="s">
        <v>223</v>
      </c>
      <c r="AH7" t="s">
        <v>435</v>
      </c>
      <c r="AI7">
        <v>89</v>
      </c>
      <c r="AJ7">
        <v>13</v>
      </c>
      <c r="AK7">
        <v>43</v>
      </c>
      <c r="AL7">
        <v>0</v>
      </c>
      <c r="AM7">
        <v>0</v>
      </c>
      <c r="AN7" t="s">
        <v>49</v>
      </c>
      <c r="AO7">
        <v>0.90987124463519309</v>
      </c>
      <c r="AP7">
        <v>38</v>
      </c>
    </row>
    <row r="8" spans="1:42" x14ac:dyDescent="0.35">
      <c r="A8">
        <v>97165</v>
      </c>
      <c r="B8">
        <v>8619</v>
      </c>
      <c r="C8">
        <v>950194</v>
      </c>
      <c r="D8">
        <v>319</v>
      </c>
      <c r="E8" s="147">
        <v>44207</v>
      </c>
      <c r="F8" t="s">
        <v>492</v>
      </c>
      <c r="G8" t="s">
        <v>85</v>
      </c>
      <c r="H8" s="147">
        <v>44207</v>
      </c>
      <c r="I8">
        <v>7</v>
      </c>
      <c r="J8" t="s">
        <v>195</v>
      </c>
      <c r="L8">
        <v>0</v>
      </c>
      <c r="M8">
        <v>0</v>
      </c>
      <c r="U8">
        <v>276</v>
      </c>
      <c r="V8">
        <v>255</v>
      </c>
      <c r="W8">
        <v>0</v>
      </c>
      <c r="X8">
        <v>0</v>
      </c>
      <c r="Y8">
        <v>16</v>
      </c>
      <c r="Z8">
        <v>12</v>
      </c>
      <c r="AA8">
        <v>0</v>
      </c>
      <c r="AB8">
        <v>0</v>
      </c>
      <c r="AC8">
        <v>0</v>
      </c>
      <c r="AD8">
        <v>0</v>
      </c>
      <c r="AG8" t="s">
        <v>224</v>
      </c>
      <c r="AH8" t="s">
        <v>435</v>
      </c>
      <c r="AI8">
        <v>141</v>
      </c>
      <c r="AJ8">
        <v>44</v>
      </c>
      <c r="AK8">
        <v>36</v>
      </c>
      <c r="AL8">
        <v>0</v>
      </c>
      <c r="AM8">
        <v>0</v>
      </c>
      <c r="AN8" t="s">
        <v>49</v>
      </c>
      <c r="AO8">
        <v>0.92391304347826086</v>
      </c>
      <c r="AP8">
        <v>79</v>
      </c>
    </row>
    <row r="9" spans="1:42" x14ac:dyDescent="0.35">
      <c r="A9">
        <v>97179</v>
      </c>
      <c r="B9">
        <v>8619</v>
      </c>
      <c r="C9">
        <v>950208</v>
      </c>
      <c r="D9">
        <v>306</v>
      </c>
      <c r="E9" s="147">
        <v>44207</v>
      </c>
      <c r="F9" t="s">
        <v>493</v>
      </c>
      <c r="G9" t="s">
        <v>172</v>
      </c>
      <c r="H9" s="147">
        <v>44207</v>
      </c>
      <c r="I9">
        <v>7</v>
      </c>
      <c r="J9" t="s">
        <v>195</v>
      </c>
      <c r="L9">
        <v>0</v>
      </c>
      <c r="M9">
        <v>0</v>
      </c>
      <c r="U9">
        <v>331</v>
      </c>
      <c r="V9">
        <v>301</v>
      </c>
      <c r="W9">
        <v>0</v>
      </c>
      <c r="X9">
        <v>0</v>
      </c>
      <c r="Y9">
        <v>10</v>
      </c>
      <c r="Z9">
        <v>10</v>
      </c>
      <c r="AA9">
        <v>0</v>
      </c>
      <c r="AB9">
        <v>0</v>
      </c>
      <c r="AC9">
        <v>0</v>
      </c>
      <c r="AD9">
        <v>0</v>
      </c>
      <c r="AG9" t="s">
        <v>224</v>
      </c>
      <c r="AH9" t="s">
        <v>435</v>
      </c>
      <c r="AI9">
        <v>153</v>
      </c>
      <c r="AJ9">
        <v>43</v>
      </c>
      <c r="AK9">
        <v>37</v>
      </c>
      <c r="AL9">
        <v>0</v>
      </c>
      <c r="AM9">
        <v>0</v>
      </c>
      <c r="AN9" t="s">
        <v>49</v>
      </c>
      <c r="AO9">
        <v>0.90936555891238668</v>
      </c>
      <c r="AP9">
        <v>91</v>
      </c>
    </row>
    <row r="10" spans="1:42" x14ac:dyDescent="0.35">
      <c r="A10">
        <v>97238</v>
      </c>
      <c r="B10">
        <v>8619</v>
      </c>
      <c r="C10">
        <v>950267</v>
      </c>
      <c r="D10">
        <v>435</v>
      </c>
      <c r="E10" s="147">
        <v>44207</v>
      </c>
      <c r="F10" t="s">
        <v>489</v>
      </c>
      <c r="G10" t="s">
        <v>93</v>
      </c>
      <c r="H10" s="147">
        <v>44208</v>
      </c>
      <c r="I10">
        <v>7</v>
      </c>
      <c r="J10" t="s">
        <v>199</v>
      </c>
      <c r="L10">
        <v>0</v>
      </c>
      <c r="M10">
        <v>0</v>
      </c>
      <c r="U10">
        <v>427</v>
      </c>
      <c r="V10">
        <v>386</v>
      </c>
      <c r="W10">
        <v>0</v>
      </c>
      <c r="X10">
        <v>0</v>
      </c>
      <c r="Y10">
        <v>25</v>
      </c>
      <c r="Z10">
        <v>16</v>
      </c>
      <c r="AA10">
        <v>0</v>
      </c>
      <c r="AB10">
        <v>0</v>
      </c>
      <c r="AC10">
        <v>0</v>
      </c>
      <c r="AD10">
        <v>0</v>
      </c>
      <c r="AG10" t="s">
        <v>258</v>
      </c>
      <c r="AH10" t="s">
        <v>435</v>
      </c>
      <c r="AI10">
        <v>167</v>
      </c>
      <c r="AJ10">
        <v>37</v>
      </c>
      <c r="AK10">
        <v>50</v>
      </c>
      <c r="AL10">
        <v>0</v>
      </c>
      <c r="AM10">
        <v>0</v>
      </c>
      <c r="AN10" t="s">
        <v>49</v>
      </c>
      <c r="AO10">
        <v>0.90398126463700235</v>
      </c>
      <c r="AP10">
        <v>77</v>
      </c>
    </row>
    <row r="11" spans="1:42" x14ac:dyDescent="0.35">
      <c r="A11">
        <v>97239</v>
      </c>
      <c r="B11">
        <v>8619</v>
      </c>
      <c r="C11">
        <v>950268</v>
      </c>
      <c r="D11">
        <v>333</v>
      </c>
      <c r="E11" s="147">
        <v>44207</v>
      </c>
      <c r="F11" t="s">
        <v>490</v>
      </c>
      <c r="G11" t="s">
        <v>99</v>
      </c>
      <c r="H11" s="147">
        <v>44208</v>
      </c>
      <c r="I11">
        <v>7</v>
      </c>
      <c r="J11" t="s">
        <v>199</v>
      </c>
      <c r="L11">
        <v>0</v>
      </c>
      <c r="M11">
        <v>0</v>
      </c>
      <c r="U11">
        <v>291</v>
      </c>
      <c r="V11">
        <v>241</v>
      </c>
      <c r="W11">
        <v>0</v>
      </c>
      <c r="X11">
        <v>0</v>
      </c>
      <c r="Y11">
        <v>13</v>
      </c>
      <c r="Z11">
        <v>13</v>
      </c>
      <c r="AA11">
        <v>0</v>
      </c>
      <c r="AB11">
        <v>0</v>
      </c>
      <c r="AC11">
        <v>0</v>
      </c>
      <c r="AD11">
        <v>0</v>
      </c>
      <c r="AG11" t="s">
        <v>258</v>
      </c>
      <c r="AH11" t="s">
        <v>435</v>
      </c>
      <c r="AI11">
        <v>120</v>
      </c>
      <c r="AJ11">
        <v>40</v>
      </c>
      <c r="AK11">
        <v>45</v>
      </c>
      <c r="AL11">
        <v>0</v>
      </c>
      <c r="AM11">
        <v>0</v>
      </c>
      <c r="AN11" t="s">
        <v>49</v>
      </c>
      <c r="AO11">
        <v>0.82817869415807566</v>
      </c>
      <c r="AP11">
        <v>58</v>
      </c>
    </row>
    <row r="12" spans="1:42" x14ac:dyDescent="0.35">
      <c r="A12">
        <v>97244</v>
      </c>
      <c r="B12">
        <v>8619</v>
      </c>
      <c r="C12">
        <v>950273</v>
      </c>
      <c r="D12">
        <v>470</v>
      </c>
      <c r="E12" s="147">
        <v>44207</v>
      </c>
      <c r="F12" t="s">
        <v>494</v>
      </c>
      <c r="G12" t="s">
        <v>119</v>
      </c>
      <c r="H12" s="147">
        <v>44208</v>
      </c>
      <c r="I12">
        <v>7</v>
      </c>
      <c r="J12" t="s">
        <v>199</v>
      </c>
      <c r="L12">
        <v>0</v>
      </c>
      <c r="M12">
        <v>0</v>
      </c>
      <c r="U12">
        <v>465</v>
      </c>
      <c r="V12">
        <v>424</v>
      </c>
      <c r="W12">
        <v>0</v>
      </c>
      <c r="X12">
        <v>0</v>
      </c>
      <c r="Y12">
        <v>39</v>
      </c>
      <c r="Z12">
        <v>18</v>
      </c>
      <c r="AA12">
        <v>0</v>
      </c>
      <c r="AB12">
        <v>0</v>
      </c>
      <c r="AC12">
        <v>0</v>
      </c>
      <c r="AD12">
        <v>0</v>
      </c>
      <c r="AG12" t="s">
        <v>258</v>
      </c>
      <c r="AH12" t="s">
        <v>435</v>
      </c>
      <c r="AI12">
        <v>193</v>
      </c>
      <c r="AJ12">
        <v>57</v>
      </c>
      <c r="AK12">
        <v>61</v>
      </c>
      <c r="AL12">
        <v>0</v>
      </c>
      <c r="AM12">
        <v>0</v>
      </c>
      <c r="AN12" t="s">
        <v>49</v>
      </c>
      <c r="AO12">
        <v>0.91182795698924735</v>
      </c>
      <c r="AP12">
        <v>94</v>
      </c>
    </row>
    <row r="13" spans="1:42" x14ac:dyDescent="0.35">
      <c r="A13">
        <v>97292</v>
      </c>
      <c r="B13">
        <v>8619</v>
      </c>
      <c r="C13">
        <v>950321</v>
      </c>
      <c r="D13">
        <v>319</v>
      </c>
      <c r="E13" s="147">
        <v>44207</v>
      </c>
      <c r="F13" t="s">
        <v>492</v>
      </c>
      <c r="G13" t="s">
        <v>85</v>
      </c>
      <c r="H13" s="147">
        <v>44208</v>
      </c>
      <c r="I13">
        <v>7</v>
      </c>
      <c r="J13" t="s">
        <v>199</v>
      </c>
      <c r="L13">
        <v>0</v>
      </c>
      <c r="M13">
        <v>0</v>
      </c>
      <c r="U13">
        <v>284</v>
      </c>
      <c r="V13">
        <v>264</v>
      </c>
      <c r="W13">
        <v>0</v>
      </c>
      <c r="X13">
        <v>0</v>
      </c>
      <c r="Y13">
        <v>16</v>
      </c>
      <c r="Z13">
        <v>10</v>
      </c>
      <c r="AA13">
        <v>0</v>
      </c>
      <c r="AB13">
        <v>0</v>
      </c>
      <c r="AC13">
        <v>0</v>
      </c>
      <c r="AD13">
        <v>0</v>
      </c>
      <c r="AG13" t="s">
        <v>224</v>
      </c>
      <c r="AH13" t="s">
        <v>435</v>
      </c>
      <c r="AI13">
        <v>136</v>
      </c>
      <c r="AJ13">
        <v>46</v>
      </c>
      <c r="AK13">
        <v>27</v>
      </c>
      <c r="AL13">
        <v>0</v>
      </c>
      <c r="AM13">
        <v>0</v>
      </c>
      <c r="AN13" t="s">
        <v>49</v>
      </c>
      <c r="AO13">
        <v>0.92957746478873238</v>
      </c>
      <c r="AP13">
        <v>78</v>
      </c>
    </row>
    <row r="14" spans="1:42" x14ac:dyDescent="0.35">
      <c r="A14">
        <v>97296</v>
      </c>
      <c r="B14">
        <v>8619</v>
      </c>
      <c r="C14">
        <v>950325</v>
      </c>
      <c r="D14">
        <v>327</v>
      </c>
      <c r="E14" s="147">
        <v>44207</v>
      </c>
      <c r="F14" t="s">
        <v>495</v>
      </c>
      <c r="G14" t="s">
        <v>122</v>
      </c>
      <c r="H14" s="147">
        <v>44208</v>
      </c>
      <c r="I14">
        <v>7</v>
      </c>
      <c r="J14" t="s">
        <v>199</v>
      </c>
      <c r="L14">
        <v>0</v>
      </c>
      <c r="M14">
        <v>0</v>
      </c>
      <c r="U14">
        <v>285</v>
      </c>
      <c r="V14">
        <v>228</v>
      </c>
      <c r="W14">
        <v>0</v>
      </c>
      <c r="X14">
        <v>0</v>
      </c>
      <c r="Y14">
        <v>8</v>
      </c>
      <c r="Z14">
        <v>4</v>
      </c>
      <c r="AA14">
        <v>0</v>
      </c>
      <c r="AB14">
        <v>0</v>
      </c>
      <c r="AC14">
        <v>0</v>
      </c>
      <c r="AD14">
        <v>0</v>
      </c>
      <c r="AG14" t="s">
        <v>224</v>
      </c>
      <c r="AH14" t="s">
        <v>435</v>
      </c>
      <c r="AI14">
        <v>81</v>
      </c>
      <c r="AJ14">
        <v>27</v>
      </c>
      <c r="AK14">
        <v>43</v>
      </c>
      <c r="AL14">
        <v>0</v>
      </c>
      <c r="AM14">
        <v>0</v>
      </c>
      <c r="AN14" t="s">
        <v>49</v>
      </c>
      <c r="AO14">
        <v>0.8</v>
      </c>
      <c r="AP14">
        <v>42</v>
      </c>
    </row>
    <row r="15" spans="1:42" x14ac:dyDescent="0.35">
      <c r="A15">
        <v>97306</v>
      </c>
      <c r="B15">
        <v>8619</v>
      </c>
      <c r="C15">
        <v>950335</v>
      </c>
      <c r="D15">
        <v>306</v>
      </c>
      <c r="E15" s="147">
        <v>44207</v>
      </c>
      <c r="F15" t="s">
        <v>493</v>
      </c>
      <c r="G15" t="s">
        <v>172</v>
      </c>
      <c r="H15" s="147">
        <v>44208</v>
      </c>
      <c r="I15">
        <v>7</v>
      </c>
      <c r="J15" t="s">
        <v>199</v>
      </c>
      <c r="L15">
        <v>0</v>
      </c>
      <c r="M15">
        <v>0</v>
      </c>
      <c r="U15">
        <v>334</v>
      </c>
      <c r="V15">
        <v>312</v>
      </c>
      <c r="W15">
        <v>0</v>
      </c>
      <c r="X15">
        <v>0</v>
      </c>
      <c r="Y15">
        <v>10</v>
      </c>
      <c r="Z15">
        <v>10</v>
      </c>
      <c r="AA15">
        <v>0</v>
      </c>
      <c r="AB15">
        <v>0</v>
      </c>
      <c r="AC15">
        <v>0</v>
      </c>
      <c r="AD15">
        <v>0</v>
      </c>
      <c r="AG15" t="s">
        <v>224</v>
      </c>
      <c r="AH15" t="s">
        <v>435</v>
      </c>
      <c r="AI15">
        <v>157</v>
      </c>
      <c r="AJ15">
        <v>50</v>
      </c>
      <c r="AK15">
        <v>48</v>
      </c>
      <c r="AL15">
        <v>0</v>
      </c>
      <c r="AM15">
        <v>0</v>
      </c>
      <c r="AN15" t="s">
        <v>49</v>
      </c>
      <c r="AO15">
        <v>0.93413173652694614</v>
      </c>
      <c r="AP15">
        <v>88</v>
      </c>
    </row>
    <row r="16" spans="1:42" x14ac:dyDescent="0.35">
      <c r="A16">
        <v>97366</v>
      </c>
      <c r="B16">
        <v>8619</v>
      </c>
      <c r="C16">
        <v>950395</v>
      </c>
      <c r="D16">
        <v>333</v>
      </c>
      <c r="E16" s="147">
        <v>44207</v>
      </c>
      <c r="F16" t="s">
        <v>490</v>
      </c>
      <c r="G16" t="s">
        <v>99</v>
      </c>
      <c r="H16" s="147">
        <v>44209</v>
      </c>
      <c r="I16">
        <v>7</v>
      </c>
      <c r="J16" t="s">
        <v>200</v>
      </c>
      <c r="L16">
        <v>0</v>
      </c>
      <c r="M16">
        <v>0</v>
      </c>
      <c r="U16">
        <v>295</v>
      </c>
      <c r="V16">
        <v>242</v>
      </c>
      <c r="W16">
        <v>0</v>
      </c>
      <c r="X16">
        <v>0</v>
      </c>
      <c r="Y16">
        <v>14</v>
      </c>
      <c r="Z16">
        <v>14</v>
      </c>
      <c r="AA16">
        <v>0</v>
      </c>
      <c r="AB16">
        <v>0</v>
      </c>
      <c r="AC16">
        <v>0</v>
      </c>
      <c r="AD16">
        <v>0</v>
      </c>
      <c r="AG16" t="s">
        <v>258</v>
      </c>
      <c r="AH16" t="s">
        <v>435</v>
      </c>
      <c r="AI16">
        <v>112</v>
      </c>
      <c r="AJ16">
        <v>39</v>
      </c>
      <c r="AK16">
        <v>31</v>
      </c>
      <c r="AL16">
        <v>0</v>
      </c>
      <c r="AM16">
        <v>0</v>
      </c>
      <c r="AN16" t="s">
        <v>49</v>
      </c>
      <c r="AO16">
        <v>0.8203389830508474</v>
      </c>
      <c r="AP16">
        <v>52</v>
      </c>
    </row>
    <row r="17" spans="1:42" x14ac:dyDescent="0.35">
      <c r="A17">
        <v>97409</v>
      </c>
      <c r="B17">
        <v>8619</v>
      </c>
      <c r="C17">
        <v>950438</v>
      </c>
      <c r="D17">
        <v>300</v>
      </c>
      <c r="E17" s="147">
        <v>44207</v>
      </c>
      <c r="F17" t="s">
        <v>491</v>
      </c>
      <c r="G17" t="s">
        <v>102</v>
      </c>
      <c r="H17" s="147">
        <v>44209</v>
      </c>
      <c r="I17">
        <v>7</v>
      </c>
      <c r="J17" t="s">
        <v>200</v>
      </c>
      <c r="L17">
        <v>0</v>
      </c>
      <c r="M17">
        <v>0</v>
      </c>
      <c r="U17">
        <v>214</v>
      </c>
      <c r="V17">
        <v>202</v>
      </c>
      <c r="W17">
        <v>0</v>
      </c>
      <c r="X17">
        <v>0</v>
      </c>
      <c r="Y17">
        <v>15</v>
      </c>
      <c r="Z17">
        <v>15</v>
      </c>
      <c r="AA17">
        <v>0</v>
      </c>
      <c r="AB17">
        <v>0</v>
      </c>
      <c r="AC17">
        <v>0</v>
      </c>
      <c r="AD17">
        <v>0</v>
      </c>
      <c r="AG17" t="s">
        <v>223</v>
      </c>
      <c r="AH17" t="s">
        <v>435</v>
      </c>
      <c r="AI17">
        <v>78</v>
      </c>
      <c r="AJ17">
        <v>11</v>
      </c>
      <c r="AK17">
        <v>46</v>
      </c>
      <c r="AL17">
        <v>0</v>
      </c>
      <c r="AM17">
        <v>0</v>
      </c>
      <c r="AN17" t="s">
        <v>49</v>
      </c>
      <c r="AO17">
        <v>0.94392523364485981</v>
      </c>
      <c r="AP17">
        <v>33</v>
      </c>
    </row>
    <row r="18" spans="1:42" x14ac:dyDescent="0.35">
      <c r="A18">
        <v>97419</v>
      </c>
      <c r="B18">
        <v>8619</v>
      </c>
      <c r="C18">
        <v>950448</v>
      </c>
      <c r="D18">
        <v>319</v>
      </c>
      <c r="E18" s="147">
        <v>44207</v>
      </c>
      <c r="F18" t="s">
        <v>492</v>
      </c>
      <c r="G18" t="s">
        <v>85</v>
      </c>
      <c r="H18" s="147">
        <v>44209</v>
      </c>
      <c r="I18">
        <v>7</v>
      </c>
      <c r="J18" t="s">
        <v>200</v>
      </c>
      <c r="L18">
        <v>0</v>
      </c>
      <c r="M18">
        <v>0</v>
      </c>
      <c r="U18">
        <v>279</v>
      </c>
      <c r="V18">
        <v>261</v>
      </c>
      <c r="W18">
        <v>0</v>
      </c>
      <c r="X18">
        <v>0</v>
      </c>
      <c r="Y18">
        <v>16</v>
      </c>
      <c r="Z18">
        <v>11</v>
      </c>
      <c r="AA18">
        <v>0</v>
      </c>
      <c r="AB18">
        <v>0</v>
      </c>
      <c r="AC18">
        <v>0</v>
      </c>
      <c r="AD18">
        <v>0</v>
      </c>
      <c r="AG18" t="s">
        <v>224</v>
      </c>
      <c r="AH18" t="s">
        <v>435</v>
      </c>
      <c r="AI18">
        <v>129</v>
      </c>
      <c r="AJ18">
        <v>44</v>
      </c>
      <c r="AK18">
        <v>43</v>
      </c>
      <c r="AL18">
        <v>0</v>
      </c>
      <c r="AM18">
        <v>0</v>
      </c>
      <c r="AN18" t="s">
        <v>49</v>
      </c>
      <c r="AO18">
        <v>0.93548387096774188</v>
      </c>
      <c r="AP18">
        <v>77</v>
      </c>
    </row>
    <row r="19" spans="1:42" x14ac:dyDescent="0.35">
      <c r="A19">
        <v>97429</v>
      </c>
      <c r="B19">
        <v>8619</v>
      </c>
      <c r="C19">
        <v>950458</v>
      </c>
      <c r="D19">
        <v>308</v>
      </c>
      <c r="E19" s="147">
        <v>44207</v>
      </c>
      <c r="F19" t="s">
        <v>496</v>
      </c>
      <c r="G19" t="s">
        <v>154</v>
      </c>
      <c r="H19" s="147">
        <v>44209</v>
      </c>
      <c r="I19">
        <v>7</v>
      </c>
      <c r="J19" t="s">
        <v>200</v>
      </c>
      <c r="L19">
        <v>0</v>
      </c>
      <c r="M19">
        <v>0</v>
      </c>
      <c r="U19">
        <v>338</v>
      </c>
      <c r="V19">
        <v>322</v>
      </c>
      <c r="W19">
        <v>0</v>
      </c>
      <c r="X19">
        <v>0</v>
      </c>
      <c r="Y19">
        <v>10</v>
      </c>
      <c r="Z19">
        <v>4</v>
      </c>
      <c r="AA19">
        <v>0</v>
      </c>
      <c r="AB19">
        <v>0</v>
      </c>
      <c r="AC19">
        <v>0</v>
      </c>
      <c r="AD19">
        <v>0</v>
      </c>
      <c r="AG19" t="s">
        <v>224</v>
      </c>
      <c r="AH19" t="s">
        <v>435</v>
      </c>
      <c r="AI19">
        <v>132</v>
      </c>
      <c r="AJ19">
        <v>22</v>
      </c>
      <c r="AK19">
        <v>70</v>
      </c>
      <c r="AL19">
        <v>0</v>
      </c>
      <c r="AM19">
        <v>0</v>
      </c>
      <c r="AN19" t="s">
        <v>49</v>
      </c>
      <c r="AO19">
        <v>0.9526627218934911</v>
      </c>
      <c r="AP19">
        <v>42</v>
      </c>
    </row>
    <row r="20" spans="1:42" x14ac:dyDescent="0.35">
      <c r="A20">
        <v>97433</v>
      </c>
      <c r="B20">
        <v>8619</v>
      </c>
      <c r="C20">
        <v>950462</v>
      </c>
      <c r="D20">
        <v>306</v>
      </c>
      <c r="E20" s="147">
        <v>44207</v>
      </c>
      <c r="F20" t="s">
        <v>493</v>
      </c>
      <c r="G20" t="s">
        <v>172</v>
      </c>
      <c r="H20" s="147">
        <v>44209</v>
      </c>
      <c r="I20">
        <v>7</v>
      </c>
      <c r="J20" t="s">
        <v>200</v>
      </c>
      <c r="L20">
        <v>0</v>
      </c>
      <c r="M20">
        <v>0</v>
      </c>
      <c r="U20">
        <v>328</v>
      </c>
      <c r="V20">
        <v>293</v>
      </c>
      <c r="W20">
        <v>0</v>
      </c>
      <c r="X20">
        <v>0</v>
      </c>
      <c r="Y20">
        <v>10</v>
      </c>
      <c r="Z20">
        <v>10</v>
      </c>
      <c r="AA20">
        <v>0</v>
      </c>
      <c r="AB20">
        <v>0</v>
      </c>
      <c r="AC20">
        <v>0</v>
      </c>
      <c r="AD20">
        <v>0</v>
      </c>
      <c r="AG20" t="s">
        <v>224</v>
      </c>
      <c r="AH20" t="s">
        <v>435</v>
      </c>
      <c r="AI20">
        <v>139</v>
      </c>
      <c r="AJ20">
        <v>48</v>
      </c>
      <c r="AK20">
        <v>42</v>
      </c>
      <c r="AL20">
        <v>0</v>
      </c>
      <c r="AM20">
        <v>0</v>
      </c>
      <c r="AN20" t="s">
        <v>49</v>
      </c>
      <c r="AO20">
        <v>0.89329268292682928</v>
      </c>
      <c r="AP20">
        <v>80</v>
      </c>
    </row>
    <row r="21" spans="1:42" x14ac:dyDescent="0.35">
      <c r="A21">
        <v>97474</v>
      </c>
      <c r="B21">
        <v>8619</v>
      </c>
      <c r="C21">
        <v>950503</v>
      </c>
      <c r="D21">
        <v>378</v>
      </c>
      <c r="E21" s="147">
        <v>44207</v>
      </c>
      <c r="F21" t="s">
        <v>497</v>
      </c>
      <c r="G21" t="s">
        <v>141</v>
      </c>
      <c r="H21" s="147">
        <v>44210</v>
      </c>
      <c r="I21">
        <v>7</v>
      </c>
      <c r="J21" t="s">
        <v>198</v>
      </c>
      <c r="L21">
        <v>0</v>
      </c>
      <c r="M21">
        <v>0</v>
      </c>
      <c r="U21">
        <v>384</v>
      </c>
      <c r="V21">
        <v>345</v>
      </c>
      <c r="W21">
        <v>0</v>
      </c>
      <c r="X21">
        <v>0</v>
      </c>
      <c r="Y21">
        <v>11</v>
      </c>
      <c r="Z21">
        <v>8</v>
      </c>
      <c r="AA21">
        <v>0</v>
      </c>
      <c r="AB21">
        <v>0</v>
      </c>
      <c r="AC21">
        <v>0</v>
      </c>
      <c r="AD21">
        <v>0</v>
      </c>
      <c r="AG21" t="s">
        <v>226</v>
      </c>
      <c r="AH21" t="s">
        <v>435</v>
      </c>
      <c r="AI21">
        <v>147</v>
      </c>
      <c r="AJ21">
        <v>31</v>
      </c>
      <c r="AK21">
        <v>44</v>
      </c>
      <c r="AL21">
        <v>0</v>
      </c>
      <c r="AM21">
        <v>0</v>
      </c>
      <c r="AN21" t="s">
        <v>49</v>
      </c>
      <c r="AO21">
        <v>0.8984375</v>
      </c>
      <c r="AP21">
        <v>71</v>
      </c>
    </row>
    <row r="22" spans="1:42" x14ac:dyDescent="0.35">
      <c r="A22">
        <v>97492</v>
      </c>
      <c r="B22">
        <v>8619</v>
      </c>
      <c r="C22">
        <v>950521</v>
      </c>
      <c r="D22">
        <v>435</v>
      </c>
      <c r="E22" s="147">
        <v>44207</v>
      </c>
      <c r="F22" t="s">
        <v>489</v>
      </c>
      <c r="G22" t="s">
        <v>93</v>
      </c>
      <c r="H22" s="147">
        <v>44210</v>
      </c>
      <c r="I22">
        <v>7</v>
      </c>
      <c r="J22" t="s">
        <v>198</v>
      </c>
      <c r="L22">
        <v>0</v>
      </c>
      <c r="M22">
        <v>0</v>
      </c>
      <c r="U22">
        <v>437</v>
      </c>
      <c r="V22">
        <v>368</v>
      </c>
      <c r="W22">
        <v>0</v>
      </c>
      <c r="X22">
        <v>0</v>
      </c>
      <c r="Y22">
        <v>24</v>
      </c>
      <c r="Z22">
        <v>19</v>
      </c>
      <c r="AA22">
        <v>0</v>
      </c>
      <c r="AB22">
        <v>0</v>
      </c>
      <c r="AC22">
        <v>0</v>
      </c>
      <c r="AD22">
        <v>0</v>
      </c>
      <c r="AG22" t="s">
        <v>258</v>
      </c>
      <c r="AH22" t="s">
        <v>435</v>
      </c>
      <c r="AI22">
        <v>164</v>
      </c>
      <c r="AJ22">
        <v>36</v>
      </c>
      <c r="AK22">
        <v>52</v>
      </c>
      <c r="AL22">
        <v>0</v>
      </c>
      <c r="AM22">
        <v>0</v>
      </c>
      <c r="AN22" t="s">
        <v>49</v>
      </c>
      <c r="AO22">
        <v>0.84210526315789469</v>
      </c>
      <c r="AP22">
        <v>75</v>
      </c>
    </row>
    <row r="23" spans="1:42" x14ac:dyDescent="0.35">
      <c r="A23">
        <v>97493</v>
      </c>
      <c r="B23">
        <v>8619</v>
      </c>
      <c r="C23">
        <v>950522</v>
      </c>
      <c r="D23">
        <v>333</v>
      </c>
      <c r="E23" s="147">
        <v>44207</v>
      </c>
      <c r="F23" t="s">
        <v>490</v>
      </c>
      <c r="G23" t="s">
        <v>99</v>
      </c>
      <c r="H23" s="147">
        <v>44210</v>
      </c>
      <c r="I23">
        <v>7</v>
      </c>
      <c r="J23" t="s">
        <v>198</v>
      </c>
      <c r="L23">
        <v>0</v>
      </c>
      <c r="M23">
        <v>0</v>
      </c>
      <c r="U23">
        <v>298</v>
      </c>
      <c r="V23">
        <v>226</v>
      </c>
      <c r="W23">
        <v>0</v>
      </c>
      <c r="X23">
        <v>0</v>
      </c>
      <c r="Y23">
        <v>14</v>
      </c>
      <c r="Z23">
        <v>14</v>
      </c>
      <c r="AA23">
        <v>0</v>
      </c>
      <c r="AB23">
        <v>0</v>
      </c>
      <c r="AC23">
        <v>0</v>
      </c>
      <c r="AD23">
        <v>0</v>
      </c>
      <c r="AG23" t="s">
        <v>258</v>
      </c>
      <c r="AH23" t="s">
        <v>435</v>
      </c>
      <c r="AI23">
        <v>114</v>
      </c>
      <c r="AJ23">
        <v>34</v>
      </c>
      <c r="AK23">
        <v>20</v>
      </c>
      <c r="AL23">
        <v>0</v>
      </c>
      <c r="AM23">
        <v>0</v>
      </c>
      <c r="AN23" t="s">
        <v>49</v>
      </c>
      <c r="AO23">
        <v>0.75838926174496646</v>
      </c>
      <c r="AP23">
        <v>49</v>
      </c>
    </row>
    <row r="24" spans="1:42" x14ac:dyDescent="0.35">
      <c r="A24">
        <v>97521</v>
      </c>
      <c r="B24">
        <v>8619</v>
      </c>
      <c r="C24">
        <v>950550</v>
      </c>
      <c r="D24">
        <v>322</v>
      </c>
      <c r="E24" s="147">
        <v>44207</v>
      </c>
      <c r="F24" t="s">
        <v>498</v>
      </c>
      <c r="G24" t="s">
        <v>144</v>
      </c>
      <c r="H24" s="147">
        <v>44210</v>
      </c>
      <c r="I24">
        <v>7</v>
      </c>
      <c r="J24" t="s">
        <v>198</v>
      </c>
      <c r="L24">
        <v>0</v>
      </c>
      <c r="M24">
        <v>0</v>
      </c>
      <c r="U24">
        <v>713</v>
      </c>
      <c r="V24">
        <v>651</v>
      </c>
      <c r="W24">
        <v>0</v>
      </c>
      <c r="X24">
        <v>0</v>
      </c>
      <c r="Y24">
        <v>18</v>
      </c>
      <c r="Z24">
        <v>18</v>
      </c>
      <c r="AA24">
        <v>0</v>
      </c>
      <c r="AB24">
        <v>0</v>
      </c>
      <c r="AC24">
        <v>0</v>
      </c>
      <c r="AD24">
        <v>0</v>
      </c>
      <c r="AG24" t="s">
        <v>255</v>
      </c>
      <c r="AH24" t="s">
        <v>435</v>
      </c>
      <c r="AI24">
        <v>315</v>
      </c>
      <c r="AJ24">
        <v>88</v>
      </c>
      <c r="AK24">
        <v>95</v>
      </c>
      <c r="AL24">
        <v>0</v>
      </c>
      <c r="AM24">
        <v>0</v>
      </c>
      <c r="AN24" t="s">
        <v>49</v>
      </c>
      <c r="AO24">
        <v>0.91304347826086951</v>
      </c>
      <c r="AP24">
        <v>172</v>
      </c>
    </row>
    <row r="25" spans="1:42" x14ac:dyDescent="0.35">
      <c r="A25">
        <v>97531</v>
      </c>
      <c r="B25">
        <v>8619</v>
      </c>
      <c r="C25">
        <v>950560</v>
      </c>
      <c r="D25">
        <v>407</v>
      </c>
      <c r="E25" s="147">
        <v>44207</v>
      </c>
      <c r="F25" t="s">
        <v>499</v>
      </c>
      <c r="G25" t="s">
        <v>83</v>
      </c>
      <c r="H25" s="147">
        <v>44210</v>
      </c>
      <c r="I25">
        <v>7</v>
      </c>
      <c r="J25" t="s">
        <v>198</v>
      </c>
      <c r="L25">
        <v>0</v>
      </c>
      <c r="M25">
        <v>0</v>
      </c>
      <c r="U25">
        <v>492</v>
      </c>
      <c r="V25">
        <v>443</v>
      </c>
      <c r="W25">
        <v>0</v>
      </c>
      <c r="X25">
        <v>0</v>
      </c>
      <c r="Y25">
        <v>17</v>
      </c>
      <c r="Z25">
        <v>17</v>
      </c>
      <c r="AA25">
        <v>0</v>
      </c>
      <c r="AB25">
        <v>0</v>
      </c>
      <c r="AC25">
        <v>0</v>
      </c>
      <c r="AD25">
        <v>0</v>
      </c>
      <c r="AG25" t="s">
        <v>223</v>
      </c>
      <c r="AH25" t="s">
        <v>435</v>
      </c>
      <c r="AI25">
        <v>226</v>
      </c>
      <c r="AJ25">
        <v>64</v>
      </c>
      <c r="AK25">
        <v>96</v>
      </c>
      <c r="AL25">
        <v>0</v>
      </c>
      <c r="AM25">
        <v>0</v>
      </c>
      <c r="AN25" t="s">
        <v>49</v>
      </c>
      <c r="AO25">
        <v>0.90040650406504064</v>
      </c>
      <c r="AP25">
        <v>113</v>
      </c>
    </row>
    <row r="26" spans="1:42" x14ac:dyDescent="0.35">
      <c r="A26">
        <v>97546</v>
      </c>
      <c r="B26">
        <v>8619</v>
      </c>
      <c r="C26">
        <v>950575</v>
      </c>
      <c r="D26">
        <v>319</v>
      </c>
      <c r="E26" s="147">
        <v>44207</v>
      </c>
      <c r="F26" t="s">
        <v>492</v>
      </c>
      <c r="G26" t="s">
        <v>85</v>
      </c>
      <c r="H26" s="147">
        <v>44210</v>
      </c>
      <c r="I26">
        <v>7</v>
      </c>
      <c r="J26" t="s">
        <v>198</v>
      </c>
      <c r="L26">
        <v>0</v>
      </c>
      <c r="M26">
        <v>0</v>
      </c>
      <c r="U26">
        <v>286</v>
      </c>
      <c r="V26">
        <v>246</v>
      </c>
      <c r="W26">
        <v>0</v>
      </c>
      <c r="X26">
        <v>0</v>
      </c>
      <c r="Y26">
        <v>16</v>
      </c>
      <c r="Z26">
        <v>12</v>
      </c>
      <c r="AA26">
        <v>0</v>
      </c>
      <c r="AB26">
        <v>0</v>
      </c>
      <c r="AC26">
        <v>0</v>
      </c>
      <c r="AD26">
        <v>0</v>
      </c>
      <c r="AG26" t="s">
        <v>224</v>
      </c>
      <c r="AH26" t="s">
        <v>435</v>
      </c>
      <c r="AI26">
        <v>123</v>
      </c>
      <c r="AJ26">
        <v>47</v>
      </c>
      <c r="AK26">
        <v>42</v>
      </c>
      <c r="AL26">
        <v>0</v>
      </c>
      <c r="AM26">
        <v>0</v>
      </c>
      <c r="AN26" t="s">
        <v>49</v>
      </c>
      <c r="AO26">
        <v>0.8601398601398601</v>
      </c>
      <c r="AP26">
        <v>71</v>
      </c>
    </row>
    <row r="27" spans="1:42" x14ac:dyDescent="0.35">
      <c r="A27">
        <v>97560</v>
      </c>
      <c r="B27">
        <v>8619</v>
      </c>
      <c r="C27">
        <v>950589</v>
      </c>
      <c r="D27">
        <v>306</v>
      </c>
      <c r="E27" s="147">
        <v>44207</v>
      </c>
      <c r="F27" t="s">
        <v>493</v>
      </c>
      <c r="G27" t="s">
        <v>172</v>
      </c>
      <c r="H27" s="147">
        <v>44210</v>
      </c>
      <c r="I27">
        <v>7</v>
      </c>
      <c r="J27" t="s">
        <v>198</v>
      </c>
      <c r="L27">
        <v>0</v>
      </c>
      <c r="M27">
        <v>0</v>
      </c>
      <c r="U27">
        <v>330</v>
      </c>
      <c r="V27">
        <v>302</v>
      </c>
      <c r="W27">
        <v>0</v>
      </c>
      <c r="X27">
        <v>0</v>
      </c>
      <c r="Y27">
        <v>10</v>
      </c>
      <c r="Z27">
        <v>10</v>
      </c>
      <c r="AA27">
        <v>0</v>
      </c>
      <c r="AB27">
        <v>0</v>
      </c>
      <c r="AC27">
        <v>0</v>
      </c>
      <c r="AD27">
        <v>0</v>
      </c>
      <c r="AG27" t="s">
        <v>224</v>
      </c>
      <c r="AH27" t="s">
        <v>435</v>
      </c>
      <c r="AI27">
        <v>145</v>
      </c>
      <c r="AJ27">
        <v>48</v>
      </c>
      <c r="AK27">
        <v>38</v>
      </c>
      <c r="AL27">
        <v>0</v>
      </c>
      <c r="AM27">
        <v>0</v>
      </c>
      <c r="AN27" t="s">
        <v>49</v>
      </c>
      <c r="AO27">
        <v>0.91515151515151516</v>
      </c>
      <c r="AP27">
        <v>76</v>
      </c>
    </row>
    <row r="28" spans="1:42" x14ac:dyDescent="0.35">
      <c r="A28">
        <v>97620</v>
      </c>
      <c r="B28">
        <v>8619</v>
      </c>
      <c r="C28">
        <v>950649</v>
      </c>
      <c r="D28">
        <v>333</v>
      </c>
      <c r="E28" s="147">
        <v>44207</v>
      </c>
      <c r="F28" t="s">
        <v>490</v>
      </c>
      <c r="G28" t="s">
        <v>99</v>
      </c>
      <c r="H28" s="147">
        <v>44211</v>
      </c>
      <c r="I28">
        <v>7</v>
      </c>
      <c r="J28" t="s">
        <v>194</v>
      </c>
      <c r="L28">
        <v>0</v>
      </c>
      <c r="M28">
        <v>0</v>
      </c>
      <c r="U28">
        <v>307</v>
      </c>
      <c r="V28">
        <v>227</v>
      </c>
      <c r="W28">
        <v>0</v>
      </c>
      <c r="X28">
        <v>0</v>
      </c>
      <c r="Y28">
        <v>13</v>
      </c>
      <c r="Z28">
        <v>13</v>
      </c>
      <c r="AA28">
        <v>0</v>
      </c>
      <c r="AB28">
        <v>0</v>
      </c>
      <c r="AC28">
        <v>0</v>
      </c>
      <c r="AD28">
        <v>0</v>
      </c>
      <c r="AG28" t="s">
        <v>258</v>
      </c>
      <c r="AH28" t="s">
        <v>435</v>
      </c>
      <c r="AI28">
        <v>121</v>
      </c>
      <c r="AJ28">
        <v>35</v>
      </c>
      <c r="AK28">
        <v>21</v>
      </c>
      <c r="AL28">
        <v>0</v>
      </c>
      <c r="AM28">
        <v>0</v>
      </c>
      <c r="AN28" t="s">
        <v>49</v>
      </c>
      <c r="AO28">
        <v>0.73941368078175895</v>
      </c>
      <c r="AP28">
        <v>53</v>
      </c>
    </row>
    <row r="29" spans="1:42" x14ac:dyDescent="0.35">
      <c r="A29">
        <v>97639</v>
      </c>
      <c r="B29">
        <v>8619</v>
      </c>
      <c r="C29">
        <v>950668</v>
      </c>
      <c r="D29">
        <v>383</v>
      </c>
      <c r="E29" s="147">
        <v>44207</v>
      </c>
      <c r="F29" t="s">
        <v>500</v>
      </c>
      <c r="G29" t="s">
        <v>87</v>
      </c>
      <c r="H29" s="147">
        <v>44211</v>
      </c>
      <c r="I29">
        <v>7</v>
      </c>
      <c r="J29" t="s">
        <v>194</v>
      </c>
      <c r="L29">
        <v>0</v>
      </c>
      <c r="M29">
        <v>0</v>
      </c>
      <c r="U29">
        <v>303</v>
      </c>
      <c r="V29">
        <v>274</v>
      </c>
      <c r="W29">
        <v>0</v>
      </c>
      <c r="X29">
        <v>0</v>
      </c>
      <c r="Y29">
        <v>9</v>
      </c>
      <c r="Z29">
        <v>6</v>
      </c>
      <c r="AA29">
        <v>0</v>
      </c>
      <c r="AB29">
        <v>0</v>
      </c>
      <c r="AC29">
        <v>0</v>
      </c>
      <c r="AD29">
        <v>0</v>
      </c>
      <c r="AG29" t="s">
        <v>255</v>
      </c>
      <c r="AH29" t="s">
        <v>435</v>
      </c>
      <c r="AI29">
        <v>126</v>
      </c>
      <c r="AJ29">
        <v>51</v>
      </c>
      <c r="AK29">
        <v>31</v>
      </c>
      <c r="AL29">
        <v>0</v>
      </c>
      <c r="AM29">
        <v>0</v>
      </c>
      <c r="AN29" t="s">
        <v>49</v>
      </c>
      <c r="AO29">
        <v>0.90429042904290424</v>
      </c>
      <c r="AP29">
        <v>80</v>
      </c>
    </row>
    <row r="30" spans="1:42" x14ac:dyDescent="0.35">
      <c r="A30">
        <v>97673</v>
      </c>
      <c r="B30">
        <v>8619</v>
      </c>
      <c r="C30">
        <v>950702</v>
      </c>
      <c r="D30">
        <v>319</v>
      </c>
      <c r="E30" s="147">
        <v>44207</v>
      </c>
      <c r="F30" t="s">
        <v>492</v>
      </c>
      <c r="G30" t="s">
        <v>85</v>
      </c>
      <c r="H30" s="147">
        <v>44211</v>
      </c>
      <c r="I30">
        <v>7</v>
      </c>
      <c r="J30" t="s">
        <v>194</v>
      </c>
      <c r="L30">
        <v>0</v>
      </c>
      <c r="M30">
        <v>0</v>
      </c>
      <c r="U30">
        <v>288</v>
      </c>
      <c r="V30">
        <v>251</v>
      </c>
      <c r="W30">
        <v>0</v>
      </c>
      <c r="X30">
        <v>0</v>
      </c>
      <c r="Y30">
        <v>16</v>
      </c>
      <c r="Z30">
        <v>12</v>
      </c>
      <c r="AA30">
        <v>0</v>
      </c>
      <c r="AB30">
        <v>0</v>
      </c>
      <c r="AC30">
        <v>0</v>
      </c>
      <c r="AD30">
        <v>0</v>
      </c>
      <c r="AG30" t="s">
        <v>224</v>
      </c>
      <c r="AH30" t="s">
        <v>435</v>
      </c>
      <c r="AI30">
        <v>121</v>
      </c>
      <c r="AJ30">
        <v>46</v>
      </c>
      <c r="AK30">
        <v>49</v>
      </c>
      <c r="AL30">
        <v>0</v>
      </c>
      <c r="AM30">
        <v>0</v>
      </c>
      <c r="AN30" t="s">
        <v>49</v>
      </c>
      <c r="AO30">
        <v>0.87152777777777779</v>
      </c>
      <c r="AP30">
        <v>72</v>
      </c>
    </row>
    <row r="31" spans="1:42" x14ac:dyDescent="0.35">
      <c r="A31">
        <v>97677</v>
      </c>
      <c r="B31">
        <v>8619</v>
      </c>
      <c r="C31">
        <v>950706</v>
      </c>
      <c r="D31">
        <v>327</v>
      </c>
      <c r="E31" s="147">
        <v>44207</v>
      </c>
      <c r="F31" t="s">
        <v>495</v>
      </c>
      <c r="G31" t="s">
        <v>122</v>
      </c>
      <c r="H31" s="147">
        <v>44211</v>
      </c>
      <c r="I31">
        <v>7</v>
      </c>
      <c r="J31" t="s">
        <v>194</v>
      </c>
      <c r="L31">
        <v>0</v>
      </c>
      <c r="M31">
        <v>0</v>
      </c>
      <c r="U31">
        <v>293</v>
      </c>
      <c r="V31">
        <v>220</v>
      </c>
      <c r="W31">
        <v>0</v>
      </c>
      <c r="X31">
        <v>0</v>
      </c>
      <c r="Y31">
        <v>8</v>
      </c>
      <c r="Z31">
        <v>6</v>
      </c>
      <c r="AA31">
        <v>0</v>
      </c>
      <c r="AB31">
        <v>0</v>
      </c>
      <c r="AC31">
        <v>0</v>
      </c>
      <c r="AD31">
        <v>0</v>
      </c>
      <c r="AG31" t="s">
        <v>224</v>
      </c>
      <c r="AH31" t="s">
        <v>435</v>
      </c>
      <c r="AI31">
        <v>88</v>
      </c>
      <c r="AJ31">
        <v>25</v>
      </c>
      <c r="AK31">
        <v>35</v>
      </c>
      <c r="AL31">
        <v>0</v>
      </c>
      <c r="AM31">
        <v>0</v>
      </c>
      <c r="AN31" t="s">
        <v>49</v>
      </c>
      <c r="AO31">
        <v>0.75085324232081907</v>
      </c>
      <c r="AP31">
        <v>36</v>
      </c>
    </row>
    <row r="32" spans="1:42" x14ac:dyDescent="0.35">
      <c r="A32">
        <v>97687</v>
      </c>
      <c r="B32">
        <v>8619</v>
      </c>
      <c r="C32">
        <v>950716</v>
      </c>
      <c r="D32">
        <v>306</v>
      </c>
      <c r="E32" s="147">
        <v>44207</v>
      </c>
      <c r="F32" t="s">
        <v>493</v>
      </c>
      <c r="G32" t="s">
        <v>172</v>
      </c>
      <c r="H32" s="147">
        <v>44211</v>
      </c>
      <c r="I32">
        <v>7</v>
      </c>
      <c r="J32" t="s">
        <v>194</v>
      </c>
      <c r="L32">
        <v>0</v>
      </c>
      <c r="M32">
        <v>0</v>
      </c>
      <c r="U32">
        <v>325</v>
      </c>
      <c r="V32">
        <v>298</v>
      </c>
      <c r="W32">
        <v>0</v>
      </c>
      <c r="X32">
        <v>0</v>
      </c>
      <c r="Y32">
        <v>10</v>
      </c>
      <c r="Z32">
        <v>10</v>
      </c>
      <c r="AA32">
        <v>0</v>
      </c>
      <c r="AB32">
        <v>0</v>
      </c>
      <c r="AC32">
        <v>0</v>
      </c>
      <c r="AD32">
        <v>0</v>
      </c>
      <c r="AG32" t="s">
        <v>224</v>
      </c>
      <c r="AH32" t="s">
        <v>435</v>
      </c>
      <c r="AI32">
        <v>136</v>
      </c>
      <c r="AJ32">
        <v>39</v>
      </c>
      <c r="AK32">
        <v>43</v>
      </c>
      <c r="AL32">
        <v>0</v>
      </c>
      <c r="AM32">
        <v>0</v>
      </c>
      <c r="AN32" t="s">
        <v>49</v>
      </c>
      <c r="AO32">
        <v>0.91692307692307695</v>
      </c>
      <c r="AP32">
        <v>69</v>
      </c>
    </row>
    <row r="33" spans="1:42" x14ac:dyDescent="0.35">
      <c r="A33">
        <v>97746</v>
      </c>
      <c r="B33">
        <v>8619</v>
      </c>
      <c r="C33">
        <v>950775</v>
      </c>
      <c r="D33">
        <v>435</v>
      </c>
      <c r="E33" s="147">
        <v>44207</v>
      </c>
      <c r="F33" t="s">
        <v>489</v>
      </c>
      <c r="G33" t="s">
        <v>93</v>
      </c>
      <c r="H33" s="147">
        <v>44212</v>
      </c>
      <c r="I33">
        <v>7</v>
      </c>
      <c r="J33" t="s">
        <v>196</v>
      </c>
      <c r="L33">
        <v>0</v>
      </c>
      <c r="M33">
        <v>0</v>
      </c>
      <c r="U33">
        <v>429</v>
      </c>
      <c r="V33">
        <v>335</v>
      </c>
      <c r="W33">
        <v>0</v>
      </c>
      <c r="X33">
        <v>0</v>
      </c>
      <c r="Y33">
        <v>25</v>
      </c>
      <c r="Z33">
        <v>18</v>
      </c>
      <c r="AA33">
        <v>0</v>
      </c>
      <c r="AB33">
        <v>0</v>
      </c>
      <c r="AC33">
        <v>0</v>
      </c>
      <c r="AD33">
        <v>0</v>
      </c>
      <c r="AG33" t="s">
        <v>258</v>
      </c>
      <c r="AH33" t="s">
        <v>435</v>
      </c>
      <c r="AI33">
        <v>161</v>
      </c>
      <c r="AJ33">
        <v>33</v>
      </c>
      <c r="AK33">
        <v>51</v>
      </c>
      <c r="AL33">
        <v>0</v>
      </c>
      <c r="AM33">
        <v>0</v>
      </c>
      <c r="AN33" t="s">
        <v>49</v>
      </c>
      <c r="AO33">
        <v>0.78088578088578087</v>
      </c>
      <c r="AP33">
        <v>69</v>
      </c>
    </row>
    <row r="34" spans="1:42" x14ac:dyDescent="0.35">
      <c r="A34">
        <v>97747</v>
      </c>
      <c r="B34">
        <v>8619</v>
      </c>
      <c r="C34">
        <v>950776</v>
      </c>
      <c r="D34">
        <v>333</v>
      </c>
      <c r="E34" s="147">
        <v>44207</v>
      </c>
      <c r="F34" t="s">
        <v>490</v>
      </c>
      <c r="G34" t="s">
        <v>99</v>
      </c>
      <c r="H34" s="147">
        <v>44212</v>
      </c>
      <c r="I34">
        <v>7</v>
      </c>
      <c r="J34" t="s">
        <v>196</v>
      </c>
      <c r="L34">
        <v>0</v>
      </c>
      <c r="M34">
        <v>0</v>
      </c>
      <c r="U34">
        <v>293</v>
      </c>
      <c r="V34">
        <v>184</v>
      </c>
      <c r="W34">
        <v>0</v>
      </c>
      <c r="X34">
        <v>0</v>
      </c>
      <c r="Y34">
        <v>12</v>
      </c>
      <c r="Z34">
        <v>12</v>
      </c>
      <c r="AA34">
        <v>0</v>
      </c>
      <c r="AB34">
        <v>0</v>
      </c>
      <c r="AC34">
        <v>0</v>
      </c>
      <c r="AD34">
        <v>0</v>
      </c>
      <c r="AG34" t="s">
        <v>258</v>
      </c>
      <c r="AH34" t="s">
        <v>435</v>
      </c>
      <c r="AI34">
        <v>105</v>
      </c>
      <c r="AJ34">
        <v>33</v>
      </c>
      <c r="AK34">
        <v>33</v>
      </c>
      <c r="AL34">
        <v>0</v>
      </c>
      <c r="AM34">
        <v>0</v>
      </c>
      <c r="AN34" t="s">
        <v>49</v>
      </c>
      <c r="AO34">
        <v>0.62798634812286691</v>
      </c>
      <c r="AP34">
        <v>50</v>
      </c>
    </row>
    <row r="35" spans="1:42" x14ac:dyDescent="0.35">
      <c r="A35">
        <v>97752</v>
      </c>
      <c r="B35">
        <v>8619</v>
      </c>
      <c r="C35">
        <v>950781</v>
      </c>
      <c r="D35">
        <v>470</v>
      </c>
      <c r="E35" s="147">
        <v>44207</v>
      </c>
      <c r="F35" t="s">
        <v>494</v>
      </c>
      <c r="G35" t="s">
        <v>119</v>
      </c>
      <c r="H35" s="147">
        <v>44212</v>
      </c>
      <c r="I35">
        <v>7</v>
      </c>
      <c r="J35" t="s">
        <v>196</v>
      </c>
      <c r="L35">
        <v>0</v>
      </c>
      <c r="M35">
        <v>0</v>
      </c>
      <c r="U35">
        <v>453</v>
      </c>
      <c r="V35">
        <v>397</v>
      </c>
      <c r="W35">
        <v>0</v>
      </c>
      <c r="X35">
        <v>0</v>
      </c>
      <c r="Y35">
        <v>39</v>
      </c>
      <c r="Z35">
        <v>22</v>
      </c>
      <c r="AA35">
        <v>0</v>
      </c>
      <c r="AB35">
        <v>0</v>
      </c>
      <c r="AC35">
        <v>0</v>
      </c>
      <c r="AD35">
        <v>0</v>
      </c>
      <c r="AG35" t="s">
        <v>258</v>
      </c>
      <c r="AH35" t="s">
        <v>435</v>
      </c>
      <c r="AI35">
        <v>182</v>
      </c>
      <c r="AJ35">
        <v>51</v>
      </c>
      <c r="AK35">
        <v>59</v>
      </c>
      <c r="AL35">
        <v>0</v>
      </c>
      <c r="AM35">
        <v>0</v>
      </c>
      <c r="AN35" t="s">
        <v>49</v>
      </c>
      <c r="AO35">
        <v>0.87637969094922741</v>
      </c>
      <c r="AP35">
        <v>84</v>
      </c>
    </row>
    <row r="36" spans="1:42" x14ac:dyDescent="0.35">
      <c r="A36">
        <v>97766</v>
      </c>
      <c r="B36">
        <v>8619</v>
      </c>
      <c r="C36">
        <v>950795</v>
      </c>
      <c r="D36">
        <v>383</v>
      </c>
      <c r="E36" s="147">
        <v>44207</v>
      </c>
      <c r="F36" t="s">
        <v>500</v>
      </c>
      <c r="G36" t="s">
        <v>87</v>
      </c>
      <c r="H36" s="147">
        <v>44212</v>
      </c>
      <c r="I36">
        <v>7</v>
      </c>
      <c r="J36" t="s">
        <v>196</v>
      </c>
      <c r="L36">
        <v>0</v>
      </c>
      <c r="M36">
        <v>0</v>
      </c>
      <c r="U36">
        <v>305</v>
      </c>
      <c r="V36">
        <v>224</v>
      </c>
      <c r="W36">
        <v>0</v>
      </c>
      <c r="X36">
        <v>0</v>
      </c>
      <c r="Y36">
        <v>9</v>
      </c>
      <c r="Z36">
        <v>6</v>
      </c>
      <c r="AA36">
        <v>0</v>
      </c>
      <c r="AB36">
        <v>0</v>
      </c>
      <c r="AC36">
        <v>0</v>
      </c>
      <c r="AD36">
        <v>0</v>
      </c>
      <c r="AG36" t="s">
        <v>255</v>
      </c>
      <c r="AH36" t="s">
        <v>435</v>
      </c>
      <c r="AI36">
        <v>117</v>
      </c>
      <c r="AJ36">
        <v>52</v>
      </c>
      <c r="AK36">
        <v>40</v>
      </c>
      <c r="AL36">
        <v>0</v>
      </c>
      <c r="AM36">
        <v>0</v>
      </c>
      <c r="AN36" t="s">
        <v>49</v>
      </c>
      <c r="AO36">
        <v>0.73442622950819669</v>
      </c>
      <c r="AP36">
        <v>75</v>
      </c>
    </row>
    <row r="37" spans="1:42" x14ac:dyDescent="0.35">
      <c r="A37">
        <v>97790</v>
      </c>
      <c r="B37">
        <v>8619</v>
      </c>
      <c r="C37">
        <v>950819</v>
      </c>
      <c r="D37">
        <v>300</v>
      </c>
      <c r="E37" s="147">
        <v>44207</v>
      </c>
      <c r="F37" t="s">
        <v>491</v>
      </c>
      <c r="G37" t="s">
        <v>102</v>
      </c>
      <c r="H37" s="147">
        <v>44212</v>
      </c>
      <c r="I37">
        <v>7</v>
      </c>
      <c r="J37" t="s">
        <v>196</v>
      </c>
      <c r="L37">
        <v>0</v>
      </c>
      <c r="M37">
        <v>0</v>
      </c>
      <c r="U37">
        <v>225</v>
      </c>
      <c r="V37">
        <v>220</v>
      </c>
      <c r="W37">
        <v>0</v>
      </c>
      <c r="X37">
        <v>0</v>
      </c>
      <c r="Y37">
        <v>15</v>
      </c>
      <c r="Z37">
        <v>15</v>
      </c>
      <c r="AA37">
        <v>0</v>
      </c>
      <c r="AB37">
        <v>0</v>
      </c>
      <c r="AC37">
        <v>0</v>
      </c>
      <c r="AD37">
        <v>0</v>
      </c>
      <c r="AG37" t="s">
        <v>223</v>
      </c>
      <c r="AH37" t="s">
        <v>435</v>
      </c>
      <c r="AI37">
        <v>95</v>
      </c>
      <c r="AJ37">
        <v>16</v>
      </c>
      <c r="AK37">
        <v>35</v>
      </c>
      <c r="AL37">
        <v>0</v>
      </c>
      <c r="AM37">
        <v>0</v>
      </c>
      <c r="AN37" t="s">
        <v>49</v>
      </c>
      <c r="AO37">
        <v>0.97777777777777775</v>
      </c>
      <c r="AP37">
        <v>43</v>
      </c>
    </row>
    <row r="38" spans="1:42" x14ac:dyDescent="0.35">
      <c r="A38">
        <v>97800</v>
      </c>
      <c r="B38">
        <v>8619</v>
      </c>
      <c r="C38">
        <v>950829</v>
      </c>
      <c r="D38">
        <v>319</v>
      </c>
      <c r="E38" s="147">
        <v>44207</v>
      </c>
      <c r="F38" t="s">
        <v>492</v>
      </c>
      <c r="G38" t="s">
        <v>85</v>
      </c>
      <c r="H38" s="147">
        <v>44212</v>
      </c>
      <c r="I38">
        <v>7</v>
      </c>
      <c r="J38" t="s">
        <v>196</v>
      </c>
      <c r="L38">
        <v>0</v>
      </c>
      <c r="M38">
        <v>0</v>
      </c>
      <c r="U38">
        <v>286</v>
      </c>
      <c r="V38">
        <v>234</v>
      </c>
      <c r="W38">
        <v>0</v>
      </c>
      <c r="X38">
        <v>0</v>
      </c>
      <c r="Y38">
        <v>16</v>
      </c>
      <c r="Z38">
        <v>10</v>
      </c>
      <c r="AA38">
        <v>0</v>
      </c>
      <c r="AB38">
        <v>0</v>
      </c>
      <c r="AC38">
        <v>0</v>
      </c>
      <c r="AD38">
        <v>0</v>
      </c>
      <c r="AG38" t="s">
        <v>224</v>
      </c>
      <c r="AH38" t="s">
        <v>435</v>
      </c>
      <c r="AI38">
        <v>116</v>
      </c>
      <c r="AJ38">
        <v>45</v>
      </c>
      <c r="AK38">
        <v>46</v>
      </c>
      <c r="AL38">
        <v>0</v>
      </c>
      <c r="AM38">
        <v>0</v>
      </c>
      <c r="AN38" t="s">
        <v>49</v>
      </c>
      <c r="AO38">
        <v>0.81818181818181823</v>
      </c>
      <c r="AP38">
        <v>69</v>
      </c>
    </row>
    <row r="39" spans="1:42" x14ac:dyDescent="0.35">
      <c r="A39">
        <v>97804</v>
      </c>
      <c r="B39">
        <v>8619</v>
      </c>
      <c r="C39">
        <v>950833</v>
      </c>
      <c r="D39">
        <v>327</v>
      </c>
      <c r="E39" s="147">
        <v>44207</v>
      </c>
      <c r="F39" t="s">
        <v>495</v>
      </c>
      <c r="G39" t="s">
        <v>122</v>
      </c>
      <c r="H39" s="147">
        <v>44212</v>
      </c>
      <c r="I39">
        <v>7</v>
      </c>
      <c r="J39" t="s">
        <v>196</v>
      </c>
      <c r="L39">
        <v>0</v>
      </c>
      <c r="M39">
        <v>0</v>
      </c>
      <c r="U39">
        <v>294</v>
      </c>
      <c r="V39">
        <v>230</v>
      </c>
      <c r="W39">
        <v>0</v>
      </c>
      <c r="X39">
        <v>0</v>
      </c>
      <c r="Y39">
        <v>8</v>
      </c>
      <c r="Z39">
        <v>4</v>
      </c>
      <c r="AA39">
        <v>0</v>
      </c>
      <c r="AB39">
        <v>0</v>
      </c>
      <c r="AC39">
        <v>0</v>
      </c>
      <c r="AD39">
        <v>0</v>
      </c>
      <c r="AG39" t="s">
        <v>224</v>
      </c>
      <c r="AH39" t="s">
        <v>435</v>
      </c>
      <c r="AI39">
        <v>85</v>
      </c>
      <c r="AJ39">
        <v>26</v>
      </c>
      <c r="AK39">
        <v>35</v>
      </c>
      <c r="AL39">
        <v>0</v>
      </c>
      <c r="AM39">
        <v>0</v>
      </c>
      <c r="AN39" t="s">
        <v>49</v>
      </c>
      <c r="AO39">
        <v>0.78231292517006801</v>
      </c>
      <c r="AP39">
        <v>36</v>
      </c>
    </row>
    <row r="40" spans="1:42" x14ac:dyDescent="0.35">
      <c r="A40">
        <v>97814</v>
      </c>
      <c r="B40">
        <v>8619</v>
      </c>
      <c r="C40">
        <v>950843</v>
      </c>
      <c r="D40">
        <v>306</v>
      </c>
      <c r="E40" s="147">
        <v>44207</v>
      </c>
      <c r="F40" t="s">
        <v>493</v>
      </c>
      <c r="G40" t="s">
        <v>172</v>
      </c>
      <c r="H40" s="147">
        <v>44212</v>
      </c>
      <c r="I40">
        <v>7</v>
      </c>
      <c r="J40" t="s">
        <v>196</v>
      </c>
      <c r="L40">
        <v>0</v>
      </c>
      <c r="M40">
        <v>0</v>
      </c>
      <c r="U40">
        <v>329</v>
      </c>
      <c r="V40">
        <v>303</v>
      </c>
      <c r="W40">
        <v>0</v>
      </c>
      <c r="X40">
        <v>0</v>
      </c>
      <c r="Y40">
        <v>10</v>
      </c>
      <c r="Z40">
        <v>10</v>
      </c>
      <c r="AA40">
        <v>0</v>
      </c>
      <c r="AB40">
        <v>0</v>
      </c>
      <c r="AC40">
        <v>0</v>
      </c>
      <c r="AD40">
        <v>0</v>
      </c>
      <c r="AG40" t="s">
        <v>224</v>
      </c>
      <c r="AH40" t="s">
        <v>435</v>
      </c>
      <c r="AI40">
        <v>140</v>
      </c>
      <c r="AJ40">
        <v>36</v>
      </c>
      <c r="AK40">
        <v>41</v>
      </c>
      <c r="AL40">
        <v>0</v>
      </c>
      <c r="AM40">
        <v>0</v>
      </c>
      <c r="AN40" t="s">
        <v>49</v>
      </c>
      <c r="AO40">
        <v>0.92097264437689974</v>
      </c>
      <c r="AP40">
        <v>64</v>
      </c>
    </row>
    <row r="41" spans="1:42" x14ac:dyDescent="0.35">
      <c r="A41">
        <v>97867</v>
      </c>
      <c r="B41">
        <v>8619</v>
      </c>
      <c r="C41">
        <v>950896</v>
      </c>
      <c r="D41">
        <v>334</v>
      </c>
      <c r="E41" s="147">
        <v>44207</v>
      </c>
      <c r="F41" t="s">
        <v>488</v>
      </c>
      <c r="G41" t="s">
        <v>64</v>
      </c>
      <c r="H41" s="147">
        <v>44213</v>
      </c>
      <c r="I41">
        <v>7</v>
      </c>
      <c r="J41" t="s">
        <v>197</v>
      </c>
      <c r="L41">
        <v>0</v>
      </c>
      <c r="M41">
        <v>0</v>
      </c>
      <c r="U41">
        <v>345</v>
      </c>
      <c r="V41">
        <v>278</v>
      </c>
      <c r="W41">
        <v>0</v>
      </c>
      <c r="X41">
        <v>0</v>
      </c>
      <c r="Y41">
        <v>9</v>
      </c>
      <c r="Z41">
        <v>9</v>
      </c>
      <c r="AA41">
        <v>0</v>
      </c>
      <c r="AB41">
        <v>0</v>
      </c>
      <c r="AC41">
        <v>0</v>
      </c>
      <c r="AD41">
        <v>0</v>
      </c>
      <c r="AG41" t="s">
        <v>258</v>
      </c>
      <c r="AH41" t="s">
        <v>435</v>
      </c>
      <c r="AI41">
        <v>145</v>
      </c>
      <c r="AJ41">
        <v>41</v>
      </c>
      <c r="AK41">
        <v>38</v>
      </c>
      <c r="AL41">
        <v>0</v>
      </c>
      <c r="AM41">
        <v>0</v>
      </c>
      <c r="AN41" t="s">
        <v>49</v>
      </c>
      <c r="AO41">
        <v>0.80579710144927541</v>
      </c>
      <c r="AP41">
        <v>69</v>
      </c>
    </row>
    <row r="42" spans="1:42" x14ac:dyDescent="0.35">
      <c r="A42">
        <v>97873</v>
      </c>
      <c r="B42">
        <v>8619</v>
      </c>
      <c r="C42">
        <v>950902</v>
      </c>
      <c r="D42">
        <v>435</v>
      </c>
      <c r="E42" s="147">
        <v>44207</v>
      </c>
      <c r="F42" t="s">
        <v>489</v>
      </c>
      <c r="G42" t="s">
        <v>93</v>
      </c>
      <c r="H42" s="147">
        <v>44213</v>
      </c>
      <c r="I42">
        <v>7</v>
      </c>
      <c r="J42" t="s">
        <v>197</v>
      </c>
      <c r="L42">
        <v>0</v>
      </c>
      <c r="M42">
        <v>0</v>
      </c>
      <c r="U42">
        <v>416</v>
      </c>
      <c r="V42">
        <v>340</v>
      </c>
      <c r="W42">
        <v>0</v>
      </c>
      <c r="X42">
        <v>0</v>
      </c>
      <c r="Y42">
        <v>25</v>
      </c>
      <c r="Z42">
        <v>17</v>
      </c>
      <c r="AA42">
        <v>0</v>
      </c>
      <c r="AB42">
        <v>0</v>
      </c>
      <c r="AC42">
        <v>0</v>
      </c>
      <c r="AD42">
        <v>0</v>
      </c>
      <c r="AG42" t="s">
        <v>258</v>
      </c>
      <c r="AH42" t="s">
        <v>435</v>
      </c>
      <c r="AI42">
        <v>149</v>
      </c>
      <c r="AJ42">
        <v>30</v>
      </c>
      <c r="AK42">
        <v>59</v>
      </c>
      <c r="AL42">
        <v>0</v>
      </c>
      <c r="AM42">
        <v>0</v>
      </c>
      <c r="AN42" t="s">
        <v>49</v>
      </c>
      <c r="AO42">
        <v>0.81730769230769229</v>
      </c>
      <c r="AP42">
        <v>65</v>
      </c>
    </row>
    <row r="43" spans="1:42" x14ac:dyDescent="0.35">
      <c r="A43">
        <v>97874</v>
      </c>
      <c r="B43">
        <v>8619</v>
      </c>
      <c r="C43">
        <v>950903</v>
      </c>
      <c r="D43">
        <v>333</v>
      </c>
      <c r="E43" s="147">
        <v>44207</v>
      </c>
      <c r="F43" t="s">
        <v>490</v>
      </c>
      <c r="G43" t="s">
        <v>99</v>
      </c>
      <c r="H43" s="147">
        <v>44213</v>
      </c>
      <c r="I43">
        <v>7</v>
      </c>
      <c r="J43" t="s">
        <v>197</v>
      </c>
      <c r="L43">
        <v>0</v>
      </c>
      <c r="M43">
        <v>0</v>
      </c>
      <c r="U43">
        <v>264</v>
      </c>
      <c r="V43">
        <v>174</v>
      </c>
      <c r="W43">
        <v>0</v>
      </c>
      <c r="X43">
        <v>0</v>
      </c>
      <c r="Y43">
        <v>13</v>
      </c>
      <c r="Z43">
        <v>13</v>
      </c>
      <c r="AA43">
        <v>0</v>
      </c>
      <c r="AB43">
        <v>0</v>
      </c>
      <c r="AC43">
        <v>0</v>
      </c>
      <c r="AD43">
        <v>0</v>
      </c>
      <c r="AG43" t="s">
        <v>258</v>
      </c>
      <c r="AH43" t="s">
        <v>435</v>
      </c>
      <c r="AI43">
        <v>109</v>
      </c>
      <c r="AJ43">
        <v>33</v>
      </c>
      <c r="AK43">
        <v>31</v>
      </c>
      <c r="AL43">
        <v>0</v>
      </c>
      <c r="AM43">
        <v>0</v>
      </c>
      <c r="AN43" t="s">
        <v>49</v>
      </c>
      <c r="AO43">
        <v>0.65909090909090906</v>
      </c>
      <c r="AP43">
        <v>49</v>
      </c>
    </row>
    <row r="44" spans="1:42" x14ac:dyDescent="0.35">
      <c r="A44">
        <v>97879</v>
      </c>
      <c r="B44">
        <v>8619</v>
      </c>
      <c r="C44">
        <v>950908</v>
      </c>
      <c r="D44">
        <v>470</v>
      </c>
      <c r="E44" s="147">
        <v>44207</v>
      </c>
      <c r="F44" t="s">
        <v>494</v>
      </c>
      <c r="G44" t="s">
        <v>119</v>
      </c>
      <c r="H44" s="147">
        <v>44213</v>
      </c>
      <c r="I44">
        <v>7</v>
      </c>
      <c r="J44" t="s">
        <v>197</v>
      </c>
      <c r="L44">
        <v>0</v>
      </c>
      <c r="M44">
        <v>0</v>
      </c>
      <c r="U44">
        <v>458</v>
      </c>
      <c r="V44">
        <v>403</v>
      </c>
      <c r="W44">
        <v>0</v>
      </c>
      <c r="X44">
        <v>0</v>
      </c>
      <c r="Y44">
        <v>39</v>
      </c>
      <c r="Z44">
        <v>24</v>
      </c>
      <c r="AA44">
        <v>0</v>
      </c>
      <c r="AB44">
        <v>0</v>
      </c>
      <c r="AC44">
        <v>0</v>
      </c>
      <c r="AD44">
        <v>0</v>
      </c>
      <c r="AG44" t="s">
        <v>258</v>
      </c>
      <c r="AH44" t="s">
        <v>435</v>
      </c>
      <c r="AI44">
        <v>173</v>
      </c>
      <c r="AJ44">
        <v>43</v>
      </c>
      <c r="AK44">
        <v>54</v>
      </c>
      <c r="AL44">
        <v>0</v>
      </c>
      <c r="AM44">
        <v>0</v>
      </c>
      <c r="AN44" t="s">
        <v>49</v>
      </c>
      <c r="AO44">
        <v>0.87991266375545851</v>
      </c>
      <c r="AP44">
        <v>78</v>
      </c>
    </row>
    <row r="45" spans="1:42" x14ac:dyDescent="0.35">
      <c r="A45">
        <v>97912</v>
      </c>
      <c r="B45">
        <v>8619</v>
      </c>
      <c r="C45">
        <v>950941</v>
      </c>
      <c r="D45">
        <v>407</v>
      </c>
      <c r="E45" s="147">
        <v>44207</v>
      </c>
      <c r="F45" t="s">
        <v>499</v>
      </c>
      <c r="G45" t="s">
        <v>83</v>
      </c>
      <c r="H45" s="147">
        <v>44213</v>
      </c>
      <c r="I45">
        <v>7</v>
      </c>
      <c r="J45" t="s">
        <v>197</v>
      </c>
      <c r="L45">
        <v>0</v>
      </c>
      <c r="M45">
        <v>0</v>
      </c>
      <c r="U45">
        <v>497</v>
      </c>
      <c r="V45">
        <v>443</v>
      </c>
      <c r="W45">
        <v>0</v>
      </c>
      <c r="X45">
        <v>0</v>
      </c>
      <c r="Y45">
        <v>18</v>
      </c>
      <c r="Z45">
        <v>18</v>
      </c>
      <c r="AA45">
        <v>0</v>
      </c>
      <c r="AB45">
        <v>0</v>
      </c>
      <c r="AC45">
        <v>0</v>
      </c>
      <c r="AD45">
        <v>0</v>
      </c>
      <c r="AG45" t="s">
        <v>223</v>
      </c>
      <c r="AH45" t="s">
        <v>435</v>
      </c>
      <c r="AI45">
        <v>210</v>
      </c>
      <c r="AJ45">
        <v>66</v>
      </c>
      <c r="AK45">
        <v>69</v>
      </c>
      <c r="AL45">
        <v>0</v>
      </c>
      <c r="AM45">
        <v>0</v>
      </c>
      <c r="AN45" t="s">
        <v>49</v>
      </c>
      <c r="AO45">
        <v>0.89134808853118708</v>
      </c>
      <c r="AP45">
        <v>110</v>
      </c>
    </row>
    <row r="46" spans="1:42" x14ac:dyDescent="0.35">
      <c r="A46">
        <v>97917</v>
      </c>
      <c r="B46">
        <v>8619</v>
      </c>
      <c r="C46">
        <v>950946</v>
      </c>
      <c r="D46">
        <v>300</v>
      </c>
      <c r="E46" s="147">
        <v>44207</v>
      </c>
      <c r="F46" t="s">
        <v>491</v>
      </c>
      <c r="G46" t="s">
        <v>102</v>
      </c>
      <c r="H46" s="147">
        <v>44213</v>
      </c>
      <c r="I46">
        <v>7</v>
      </c>
      <c r="J46" t="s">
        <v>197</v>
      </c>
      <c r="L46">
        <v>0</v>
      </c>
      <c r="M46">
        <v>0</v>
      </c>
      <c r="U46">
        <v>225</v>
      </c>
      <c r="V46">
        <v>225</v>
      </c>
      <c r="W46">
        <v>0</v>
      </c>
      <c r="X46">
        <v>0</v>
      </c>
      <c r="Y46">
        <v>16</v>
      </c>
      <c r="Z46">
        <v>16</v>
      </c>
      <c r="AA46">
        <v>0</v>
      </c>
      <c r="AB46">
        <v>0</v>
      </c>
      <c r="AC46">
        <v>0</v>
      </c>
      <c r="AD46">
        <v>0</v>
      </c>
      <c r="AG46" t="s">
        <v>223</v>
      </c>
      <c r="AH46" t="s">
        <v>435</v>
      </c>
      <c r="AI46">
        <v>98</v>
      </c>
      <c r="AJ46">
        <v>22</v>
      </c>
      <c r="AK46">
        <v>45</v>
      </c>
      <c r="AL46">
        <v>0</v>
      </c>
      <c r="AM46">
        <v>0</v>
      </c>
      <c r="AN46" t="s">
        <v>49</v>
      </c>
      <c r="AO46">
        <v>1</v>
      </c>
      <c r="AP46">
        <v>51</v>
      </c>
    </row>
    <row r="47" spans="1:42" x14ac:dyDescent="0.35">
      <c r="A47">
        <v>97927</v>
      </c>
      <c r="B47">
        <v>8619</v>
      </c>
      <c r="C47">
        <v>950956</v>
      </c>
      <c r="D47">
        <v>319</v>
      </c>
      <c r="E47" s="147">
        <v>44207</v>
      </c>
      <c r="F47" t="s">
        <v>492</v>
      </c>
      <c r="G47" t="s">
        <v>85</v>
      </c>
      <c r="H47" s="147">
        <v>44213</v>
      </c>
      <c r="I47">
        <v>7</v>
      </c>
      <c r="J47" t="s">
        <v>197</v>
      </c>
      <c r="L47">
        <v>0</v>
      </c>
      <c r="M47">
        <v>0</v>
      </c>
      <c r="U47">
        <v>286</v>
      </c>
      <c r="V47">
        <v>233</v>
      </c>
      <c r="W47">
        <v>0</v>
      </c>
      <c r="X47">
        <v>0</v>
      </c>
      <c r="Y47">
        <v>16</v>
      </c>
      <c r="Z47">
        <v>11</v>
      </c>
      <c r="AA47">
        <v>0</v>
      </c>
      <c r="AB47">
        <v>0</v>
      </c>
      <c r="AC47">
        <v>0</v>
      </c>
      <c r="AD47">
        <v>0</v>
      </c>
      <c r="AG47" t="s">
        <v>224</v>
      </c>
      <c r="AH47" t="s">
        <v>435</v>
      </c>
      <c r="AI47">
        <v>119</v>
      </c>
      <c r="AJ47">
        <v>43</v>
      </c>
      <c r="AK47">
        <v>39</v>
      </c>
      <c r="AL47">
        <v>0</v>
      </c>
      <c r="AM47">
        <v>0</v>
      </c>
      <c r="AN47" t="s">
        <v>49</v>
      </c>
      <c r="AO47">
        <v>0.81468531468531469</v>
      </c>
      <c r="AP47">
        <v>69</v>
      </c>
    </row>
    <row r="48" spans="1:42" x14ac:dyDescent="0.35">
      <c r="A48">
        <v>97931</v>
      </c>
      <c r="B48">
        <v>8619</v>
      </c>
      <c r="C48">
        <v>950960</v>
      </c>
      <c r="D48">
        <v>327</v>
      </c>
      <c r="E48" s="147">
        <v>44207</v>
      </c>
      <c r="F48" t="s">
        <v>495</v>
      </c>
      <c r="G48" t="s">
        <v>122</v>
      </c>
      <c r="H48" s="147">
        <v>44213</v>
      </c>
      <c r="I48">
        <v>7</v>
      </c>
      <c r="J48" t="s">
        <v>197</v>
      </c>
      <c r="L48">
        <v>0</v>
      </c>
      <c r="M48">
        <v>0</v>
      </c>
      <c r="U48">
        <v>290</v>
      </c>
      <c r="V48">
        <v>231</v>
      </c>
      <c r="W48">
        <v>0</v>
      </c>
      <c r="X48">
        <v>0</v>
      </c>
      <c r="Y48">
        <v>8</v>
      </c>
      <c r="Z48">
        <v>3</v>
      </c>
      <c r="AA48">
        <v>0</v>
      </c>
      <c r="AB48">
        <v>0</v>
      </c>
      <c r="AC48">
        <v>0</v>
      </c>
      <c r="AD48">
        <v>0</v>
      </c>
      <c r="AG48" t="s">
        <v>224</v>
      </c>
      <c r="AH48" t="s">
        <v>435</v>
      </c>
      <c r="AI48">
        <v>87</v>
      </c>
      <c r="AJ48">
        <v>24</v>
      </c>
      <c r="AK48">
        <v>39</v>
      </c>
      <c r="AL48">
        <v>0</v>
      </c>
      <c r="AM48">
        <v>0</v>
      </c>
      <c r="AN48" t="s">
        <v>49</v>
      </c>
      <c r="AO48">
        <v>0.79655172413793107</v>
      </c>
      <c r="AP48">
        <v>36</v>
      </c>
    </row>
    <row r="49" spans="1:42" x14ac:dyDescent="0.35">
      <c r="A49">
        <v>97937</v>
      </c>
      <c r="B49">
        <v>8619</v>
      </c>
      <c r="C49">
        <v>950966</v>
      </c>
      <c r="D49">
        <v>308</v>
      </c>
      <c r="E49" s="147">
        <v>44207</v>
      </c>
      <c r="F49" t="s">
        <v>496</v>
      </c>
      <c r="G49" t="s">
        <v>154</v>
      </c>
      <c r="H49" s="147">
        <v>44213</v>
      </c>
      <c r="I49">
        <v>7</v>
      </c>
      <c r="J49" t="s">
        <v>197</v>
      </c>
      <c r="L49">
        <v>0</v>
      </c>
      <c r="M49">
        <v>0</v>
      </c>
      <c r="U49">
        <v>338</v>
      </c>
      <c r="V49">
        <v>279</v>
      </c>
      <c r="W49">
        <v>0</v>
      </c>
      <c r="X49">
        <v>0</v>
      </c>
      <c r="Y49">
        <v>10</v>
      </c>
      <c r="Z49">
        <v>5</v>
      </c>
      <c r="AA49">
        <v>0</v>
      </c>
      <c r="AB49">
        <v>0</v>
      </c>
      <c r="AC49">
        <v>0</v>
      </c>
      <c r="AD49">
        <v>0</v>
      </c>
      <c r="AG49" t="s">
        <v>224</v>
      </c>
      <c r="AH49" t="s">
        <v>435</v>
      </c>
      <c r="AI49">
        <v>101</v>
      </c>
      <c r="AJ49">
        <v>18</v>
      </c>
      <c r="AK49">
        <v>81</v>
      </c>
      <c r="AL49">
        <v>0</v>
      </c>
      <c r="AM49">
        <v>0</v>
      </c>
      <c r="AN49" t="s">
        <v>49</v>
      </c>
      <c r="AO49">
        <v>0.82544378698224852</v>
      </c>
      <c r="AP49">
        <v>35</v>
      </c>
    </row>
    <row r="50" spans="1:42" x14ac:dyDescent="0.35">
      <c r="A50">
        <v>97941</v>
      </c>
      <c r="B50">
        <v>8619</v>
      </c>
      <c r="C50">
        <v>950970</v>
      </c>
      <c r="D50">
        <v>306</v>
      </c>
      <c r="E50" s="147">
        <v>44207</v>
      </c>
      <c r="F50" t="s">
        <v>493</v>
      </c>
      <c r="G50" t="s">
        <v>172</v>
      </c>
      <c r="H50" s="147">
        <v>44213</v>
      </c>
      <c r="I50">
        <v>7</v>
      </c>
      <c r="J50" t="s">
        <v>197</v>
      </c>
      <c r="L50">
        <v>0</v>
      </c>
      <c r="M50">
        <v>0</v>
      </c>
      <c r="U50">
        <v>326</v>
      </c>
      <c r="V50">
        <v>299</v>
      </c>
      <c r="W50">
        <v>0</v>
      </c>
      <c r="X50">
        <v>0</v>
      </c>
      <c r="Y50">
        <v>10</v>
      </c>
      <c r="Z50">
        <v>10</v>
      </c>
      <c r="AA50">
        <v>0</v>
      </c>
      <c r="AB50">
        <v>0</v>
      </c>
      <c r="AC50">
        <v>0</v>
      </c>
      <c r="AD50">
        <v>0</v>
      </c>
      <c r="AG50" t="s">
        <v>224</v>
      </c>
      <c r="AH50" t="s">
        <v>435</v>
      </c>
      <c r="AI50">
        <v>146</v>
      </c>
      <c r="AJ50">
        <v>38</v>
      </c>
      <c r="AK50">
        <v>43</v>
      </c>
      <c r="AL50">
        <v>0</v>
      </c>
      <c r="AM50">
        <v>0</v>
      </c>
      <c r="AN50" t="s">
        <v>49</v>
      </c>
      <c r="AO50">
        <v>0.91717791411042948</v>
      </c>
      <c r="AP50">
        <v>68</v>
      </c>
    </row>
    <row r="51" spans="1:42" x14ac:dyDescent="0.35">
      <c r="A51">
        <v>97086</v>
      </c>
      <c r="B51">
        <v>8619</v>
      </c>
      <c r="C51">
        <v>950115</v>
      </c>
      <c r="D51">
        <v>396</v>
      </c>
      <c r="E51" s="147">
        <v>44207</v>
      </c>
      <c r="F51" t="s">
        <v>501</v>
      </c>
      <c r="G51" t="s">
        <v>94</v>
      </c>
      <c r="H51" s="147">
        <v>44207</v>
      </c>
      <c r="I51">
        <v>7</v>
      </c>
      <c r="J51" t="s">
        <v>195</v>
      </c>
      <c r="L51">
        <v>0</v>
      </c>
      <c r="M51">
        <v>0</v>
      </c>
      <c r="U51">
        <v>313</v>
      </c>
      <c r="V51">
        <v>274</v>
      </c>
      <c r="W51">
        <v>0</v>
      </c>
      <c r="X51">
        <v>0</v>
      </c>
      <c r="Y51">
        <v>8</v>
      </c>
      <c r="Z51">
        <v>8</v>
      </c>
      <c r="AA51">
        <v>0</v>
      </c>
      <c r="AB51">
        <v>0</v>
      </c>
      <c r="AC51">
        <v>0</v>
      </c>
      <c r="AD51">
        <v>0</v>
      </c>
      <c r="AG51" t="s">
        <v>226</v>
      </c>
      <c r="AH51" t="s">
        <v>435</v>
      </c>
      <c r="AI51">
        <v>114</v>
      </c>
      <c r="AJ51">
        <v>33</v>
      </c>
      <c r="AK51">
        <v>61</v>
      </c>
      <c r="AL51">
        <v>7</v>
      </c>
      <c r="AM51">
        <v>0</v>
      </c>
      <c r="AN51" t="s">
        <v>49</v>
      </c>
      <c r="AO51">
        <v>0.87539936102236426</v>
      </c>
      <c r="AP51">
        <v>57</v>
      </c>
    </row>
    <row r="52" spans="1:42" x14ac:dyDescent="0.35">
      <c r="A52">
        <v>97093</v>
      </c>
      <c r="B52">
        <v>8619</v>
      </c>
      <c r="C52">
        <v>950122</v>
      </c>
      <c r="D52">
        <v>378</v>
      </c>
      <c r="E52" s="147">
        <v>44207</v>
      </c>
      <c r="F52" t="s">
        <v>497</v>
      </c>
      <c r="G52" t="s">
        <v>141</v>
      </c>
      <c r="H52" s="147">
        <v>44207</v>
      </c>
      <c r="I52">
        <v>7</v>
      </c>
      <c r="J52" t="s">
        <v>195</v>
      </c>
      <c r="L52">
        <v>0</v>
      </c>
      <c r="M52">
        <v>0</v>
      </c>
      <c r="U52">
        <v>345</v>
      </c>
      <c r="V52">
        <v>260</v>
      </c>
      <c r="W52">
        <v>0</v>
      </c>
      <c r="X52">
        <v>0</v>
      </c>
      <c r="Y52">
        <v>8</v>
      </c>
      <c r="Z52">
        <v>4</v>
      </c>
      <c r="AA52">
        <v>0</v>
      </c>
      <c r="AB52">
        <v>0</v>
      </c>
      <c r="AC52">
        <v>0</v>
      </c>
      <c r="AD52">
        <v>0</v>
      </c>
      <c r="AG52" t="s">
        <v>226</v>
      </c>
      <c r="AH52" t="s">
        <v>435</v>
      </c>
      <c r="AI52">
        <v>136</v>
      </c>
      <c r="AJ52">
        <v>30</v>
      </c>
      <c r="AK52">
        <v>48</v>
      </c>
      <c r="AL52">
        <v>4</v>
      </c>
      <c r="AM52">
        <v>0</v>
      </c>
      <c r="AN52" t="s">
        <v>49</v>
      </c>
      <c r="AO52">
        <v>0.75362318840579712</v>
      </c>
      <c r="AP52">
        <v>65</v>
      </c>
    </row>
    <row r="53" spans="1:42" x14ac:dyDescent="0.35">
      <c r="A53">
        <v>97117</v>
      </c>
      <c r="B53">
        <v>8619</v>
      </c>
      <c r="C53">
        <v>950146</v>
      </c>
      <c r="D53">
        <v>470</v>
      </c>
      <c r="E53" s="147">
        <v>44207</v>
      </c>
      <c r="F53" t="s">
        <v>494</v>
      </c>
      <c r="G53" t="s">
        <v>119</v>
      </c>
      <c r="H53" s="147">
        <v>44207</v>
      </c>
      <c r="I53">
        <v>7</v>
      </c>
      <c r="J53" t="s">
        <v>195</v>
      </c>
      <c r="L53">
        <v>0</v>
      </c>
      <c r="M53">
        <v>0</v>
      </c>
      <c r="U53">
        <v>461</v>
      </c>
      <c r="V53">
        <v>414</v>
      </c>
      <c r="W53">
        <v>0</v>
      </c>
      <c r="X53">
        <v>0</v>
      </c>
      <c r="Y53">
        <v>39</v>
      </c>
      <c r="Z53">
        <v>16</v>
      </c>
      <c r="AA53">
        <v>0</v>
      </c>
      <c r="AB53">
        <v>0</v>
      </c>
      <c r="AC53">
        <v>0</v>
      </c>
      <c r="AD53">
        <v>0</v>
      </c>
      <c r="AG53" t="s">
        <v>258</v>
      </c>
      <c r="AH53" t="s">
        <v>435</v>
      </c>
      <c r="AI53">
        <v>181</v>
      </c>
      <c r="AJ53">
        <v>60</v>
      </c>
      <c r="AK53">
        <v>66</v>
      </c>
      <c r="AL53">
        <v>1</v>
      </c>
      <c r="AM53">
        <v>0</v>
      </c>
      <c r="AN53" t="s">
        <v>49</v>
      </c>
      <c r="AO53">
        <v>0.89804772234273322</v>
      </c>
      <c r="AP53">
        <v>97</v>
      </c>
    </row>
    <row r="54" spans="1:42" x14ac:dyDescent="0.35">
      <c r="A54">
        <v>97134</v>
      </c>
      <c r="B54">
        <v>8619</v>
      </c>
      <c r="C54">
        <v>950163</v>
      </c>
      <c r="D54">
        <v>349</v>
      </c>
      <c r="E54" s="147">
        <v>44207</v>
      </c>
      <c r="F54" t="s">
        <v>502</v>
      </c>
      <c r="G54" t="s">
        <v>261</v>
      </c>
      <c r="H54" s="147">
        <v>44207</v>
      </c>
      <c r="I54">
        <v>7</v>
      </c>
      <c r="J54" t="s">
        <v>195</v>
      </c>
      <c r="L54">
        <v>0</v>
      </c>
      <c r="M54">
        <v>0</v>
      </c>
      <c r="U54">
        <v>1594</v>
      </c>
      <c r="V54">
        <v>1398</v>
      </c>
      <c r="W54">
        <v>0</v>
      </c>
      <c r="X54">
        <v>0</v>
      </c>
      <c r="Y54">
        <v>60</v>
      </c>
      <c r="Z54">
        <v>47</v>
      </c>
      <c r="AA54">
        <v>0</v>
      </c>
      <c r="AB54">
        <v>0</v>
      </c>
      <c r="AC54">
        <v>0</v>
      </c>
      <c r="AD54">
        <v>0</v>
      </c>
      <c r="AG54" t="s">
        <v>255</v>
      </c>
      <c r="AH54" t="s">
        <v>435</v>
      </c>
      <c r="AI54">
        <v>745</v>
      </c>
      <c r="AJ54">
        <v>306</v>
      </c>
      <c r="AK54">
        <v>172</v>
      </c>
      <c r="AL54">
        <v>3</v>
      </c>
      <c r="AM54">
        <v>0</v>
      </c>
      <c r="AN54" t="s">
        <v>49</v>
      </c>
      <c r="AO54">
        <v>0.87703889585947303</v>
      </c>
      <c r="AP54">
        <v>491</v>
      </c>
    </row>
    <row r="55" spans="1:42" x14ac:dyDescent="0.35">
      <c r="A55">
        <v>97150</v>
      </c>
      <c r="B55">
        <v>8619</v>
      </c>
      <c r="C55">
        <v>950179</v>
      </c>
      <c r="D55">
        <v>407</v>
      </c>
      <c r="E55" s="147">
        <v>44207</v>
      </c>
      <c r="F55" t="s">
        <v>499</v>
      </c>
      <c r="G55" t="s">
        <v>83</v>
      </c>
      <c r="H55" s="147">
        <v>44207</v>
      </c>
      <c r="I55">
        <v>7</v>
      </c>
      <c r="J55" t="s">
        <v>195</v>
      </c>
      <c r="L55">
        <v>0</v>
      </c>
      <c r="M55">
        <v>0</v>
      </c>
      <c r="U55">
        <v>505</v>
      </c>
      <c r="V55">
        <v>467</v>
      </c>
      <c r="W55">
        <v>0</v>
      </c>
      <c r="X55">
        <v>0</v>
      </c>
      <c r="Y55">
        <v>15</v>
      </c>
      <c r="Z55">
        <v>15</v>
      </c>
      <c r="AA55">
        <v>0</v>
      </c>
      <c r="AB55">
        <v>0</v>
      </c>
      <c r="AC55">
        <v>0</v>
      </c>
      <c r="AD55">
        <v>0</v>
      </c>
      <c r="AG55" t="s">
        <v>223</v>
      </c>
      <c r="AH55" t="s">
        <v>435</v>
      </c>
      <c r="AI55">
        <v>247</v>
      </c>
      <c r="AJ55">
        <v>73</v>
      </c>
      <c r="AK55">
        <v>87</v>
      </c>
      <c r="AL55">
        <v>8</v>
      </c>
      <c r="AM55">
        <v>0</v>
      </c>
      <c r="AN55" t="s">
        <v>49</v>
      </c>
      <c r="AO55">
        <v>0.9247524752475248</v>
      </c>
      <c r="AP55">
        <v>131</v>
      </c>
    </row>
    <row r="56" spans="1:42" x14ac:dyDescent="0.35">
      <c r="A56">
        <v>97169</v>
      </c>
      <c r="B56">
        <v>8619</v>
      </c>
      <c r="C56">
        <v>950198</v>
      </c>
      <c r="D56">
        <v>327</v>
      </c>
      <c r="E56" s="147">
        <v>44207</v>
      </c>
      <c r="F56" t="s">
        <v>495</v>
      </c>
      <c r="G56" t="s">
        <v>122</v>
      </c>
      <c r="H56" s="147">
        <v>44207</v>
      </c>
      <c r="I56">
        <v>7</v>
      </c>
      <c r="J56" t="s">
        <v>195</v>
      </c>
      <c r="L56">
        <v>0</v>
      </c>
      <c r="M56">
        <v>0</v>
      </c>
      <c r="U56">
        <v>290</v>
      </c>
      <c r="V56">
        <v>216</v>
      </c>
      <c r="W56">
        <v>0</v>
      </c>
      <c r="X56">
        <v>0</v>
      </c>
      <c r="Y56">
        <v>8</v>
      </c>
      <c r="Z56">
        <v>4</v>
      </c>
      <c r="AA56">
        <v>0</v>
      </c>
      <c r="AB56">
        <v>0</v>
      </c>
      <c r="AC56">
        <v>0</v>
      </c>
      <c r="AD56">
        <v>0</v>
      </c>
      <c r="AG56" t="s">
        <v>224</v>
      </c>
      <c r="AH56" t="s">
        <v>435</v>
      </c>
      <c r="AI56">
        <v>80</v>
      </c>
      <c r="AJ56">
        <v>24</v>
      </c>
      <c r="AK56">
        <v>38</v>
      </c>
      <c r="AL56">
        <v>1</v>
      </c>
      <c r="AM56">
        <v>0</v>
      </c>
      <c r="AN56" t="s">
        <v>49</v>
      </c>
      <c r="AO56">
        <v>0.7448275862068966</v>
      </c>
      <c r="AP56">
        <v>40</v>
      </c>
    </row>
    <row r="57" spans="1:42" x14ac:dyDescent="0.35">
      <c r="A57">
        <v>97175</v>
      </c>
      <c r="B57">
        <v>8619</v>
      </c>
      <c r="C57">
        <v>950204</v>
      </c>
      <c r="D57">
        <v>308</v>
      </c>
      <c r="E57" s="147">
        <v>44207</v>
      </c>
      <c r="F57" t="s">
        <v>496</v>
      </c>
      <c r="G57" t="s">
        <v>154</v>
      </c>
      <c r="H57" s="147">
        <v>44207</v>
      </c>
      <c r="I57">
        <v>7</v>
      </c>
      <c r="J57" t="s">
        <v>195</v>
      </c>
      <c r="L57">
        <v>0</v>
      </c>
      <c r="M57">
        <v>0</v>
      </c>
      <c r="U57">
        <v>338</v>
      </c>
      <c r="V57">
        <v>308</v>
      </c>
      <c r="W57">
        <v>0</v>
      </c>
      <c r="X57">
        <v>0</v>
      </c>
      <c r="Y57">
        <v>10</v>
      </c>
      <c r="Z57">
        <v>8</v>
      </c>
      <c r="AA57">
        <v>0</v>
      </c>
      <c r="AB57">
        <v>0</v>
      </c>
      <c r="AC57">
        <v>0</v>
      </c>
      <c r="AD57">
        <v>0</v>
      </c>
      <c r="AG57" t="s">
        <v>224</v>
      </c>
      <c r="AH57" t="s">
        <v>435</v>
      </c>
      <c r="AI57">
        <v>114</v>
      </c>
      <c r="AJ57">
        <v>25</v>
      </c>
      <c r="AK57">
        <v>58</v>
      </c>
      <c r="AL57">
        <v>1</v>
      </c>
      <c r="AM57">
        <v>0</v>
      </c>
      <c r="AN57" t="s">
        <v>49</v>
      </c>
      <c r="AO57">
        <v>0.91124260355029585</v>
      </c>
      <c r="AP57">
        <v>42</v>
      </c>
    </row>
    <row r="58" spans="1:42" x14ac:dyDescent="0.35">
      <c r="A58">
        <v>97213</v>
      </c>
      <c r="B58">
        <v>8619</v>
      </c>
      <c r="C58">
        <v>950242</v>
      </c>
      <c r="D58">
        <v>396</v>
      </c>
      <c r="E58" s="147">
        <v>44207</v>
      </c>
      <c r="F58" t="s">
        <v>501</v>
      </c>
      <c r="G58" t="s">
        <v>94</v>
      </c>
      <c r="H58" s="147">
        <v>44208</v>
      </c>
      <c r="I58">
        <v>7</v>
      </c>
      <c r="J58" t="s">
        <v>199</v>
      </c>
      <c r="L58">
        <v>0</v>
      </c>
      <c r="M58">
        <v>0</v>
      </c>
      <c r="U58">
        <v>296</v>
      </c>
      <c r="V58">
        <v>274</v>
      </c>
      <c r="W58">
        <v>0</v>
      </c>
      <c r="X58">
        <v>0</v>
      </c>
      <c r="Y58">
        <v>8</v>
      </c>
      <c r="Z58">
        <v>8</v>
      </c>
      <c r="AA58">
        <v>0</v>
      </c>
      <c r="AB58">
        <v>0</v>
      </c>
      <c r="AC58">
        <v>0</v>
      </c>
      <c r="AD58">
        <v>0</v>
      </c>
      <c r="AG58" t="s">
        <v>226</v>
      </c>
      <c r="AH58" t="s">
        <v>435</v>
      </c>
      <c r="AI58">
        <v>129</v>
      </c>
      <c r="AJ58">
        <v>36</v>
      </c>
      <c r="AK58">
        <v>56</v>
      </c>
      <c r="AL58">
        <v>16</v>
      </c>
      <c r="AM58">
        <v>0</v>
      </c>
      <c r="AN58" t="s">
        <v>49</v>
      </c>
      <c r="AO58">
        <v>0.92567567567567566</v>
      </c>
      <c r="AP58">
        <v>65</v>
      </c>
    </row>
    <row r="59" spans="1:42" x14ac:dyDescent="0.35">
      <c r="A59">
        <v>97220</v>
      </c>
      <c r="B59">
        <v>8619</v>
      </c>
      <c r="C59">
        <v>950249</v>
      </c>
      <c r="D59">
        <v>378</v>
      </c>
      <c r="E59" s="147">
        <v>44207</v>
      </c>
      <c r="F59" t="s">
        <v>497</v>
      </c>
      <c r="G59" t="s">
        <v>141</v>
      </c>
      <c r="H59" s="147">
        <v>44208</v>
      </c>
      <c r="I59">
        <v>7</v>
      </c>
      <c r="J59" t="s">
        <v>199</v>
      </c>
      <c r="L59">
        <v>0</v>
      </c>
      <c r="M59">
        <v>0</v>
      </c>
      <c r="U59">
        <v>326</v>
      </c>
      <c r="V59">
        <v>278</v>
      </c>
      <c r="W59">
        <v>0</v>
      </c>
      <c r="X59">
        <v>0</v>
      </c>
      <c r="Y59">
        <v>8</v>
      </c>
      <c r="Z59">
        <v>5</v>
      </c>
      <c r="AA59">
        <v>0</v>
      </c>
      <c r="AB59">
        <v>0</v>
      </c>
      <c r="AC59">
        <v>0</v>
      </c>
      <c r="AD59">
        <v>0</v>
      </c>
      <c r="AG59" t="s">
        <v>226</v>
      </c>
      <c r="AH59" t="s">
        <v>435</v>
      </c>
      <c r="AI59">
        <v>141</v>
      </c>
      <c r="AJ59">
        <v>34</v>
      </c>
      <c r="AK59">
        <v>54</v>
      </c>
      <c r="AL59">
        <v>4</v>
      </c>
      <c r="AM59">
        <v>0</v>
      </c>
      <c r="AN59" t="s">
        <v>49</v>
      </c>
      <c r="AO59">
        <v>0.85276073619631898</v>
      </c>
      <c r="AP59">
        <v>68</v>
      </c>
    </row>
    <row r="60" spans="1:42" x14ac:dyDescent="0.35">
      <c r="A60">
        <v>97230</v>
      </c>
      <c r="B60">
        <v>8619</v>
      </c>
      <c r="C60">
        <v>950259</v>
      </c>
      <c r="D60">
        <v>486</v>
      </c>
      <c r="E60" s="147">
        <v>44207</v>
      </c>
      <c r="F60" t="s">
        <v>503</v>
      </c>
      <c r="G60" t="s">
        <v>169</v>
      </c>
      <c r="H60" s="147">
        <v>44208</v>
      </c>
      <c r="I60">
        <v>7</v>
      </c>
      <c r="J60" t="s">
        <v>199</v>
      </c>
      <c r="L60">
        <v>0</v>
      </c>
      <c r="M60">
        <v>0</v>
      </c>
      <c r="U60">
        <v>771</v>
      </c>
      <c r="V60">
        <v>663</v>
      </c>
      <c r="W60">
        <v>0</v>
      </c>
      <c r="X60">
        <v>0</v>
      </c>
      <c r="Y60">
        <v>31</v>
      </c>
      <c r="Z60">
        <v>27</v>
      </c>
      <c r="AA60">
        <v>0</v>
      </c>
      <c r="AB60">
        <v>0</v>
      </c>
      <c r="AC60">
        <v>0</v>
      </c>
      <c r="AD60">
        <v>0</v>
      </c>
      <c r="AG60" t="s">
        <v>226</v>
      </c>
      <c r="AH60" t="s">
        <v>435</v>
      </c>
      <c r="AI60">
        <v>218</v>
      </c>
      <c r="AJ60">
        <v>48</v>
      </c>
      <c r="AK60">
        <v>140</v>
      </c>
      <c r="AL60">
        <v>12</v>
      </c>
      <c r="AM60">
        <v>0</v>
      </c>
      <c r="AN60" t="s">
        <v>49</v>
      </c>
      <c r="AO60">
        <v>0.8599221789883269</v>
      </c>
      <c r="AP60">
        <v>104</v>
      </c>
    </row>
    <row r="61" spans="1:42" x14ac:dyDescent="0.35">
      <c r="A61">
        <v>97232</v>
      </c>
      <c r="B61">
        <v>8619</v>
      </c>
      <c r="C61">
        <v>950261</v>
      </c>
      <c r="D61">
        <v>334</v>
      </c>
      <c r="E61" s="147">
        <v>44207</v>
      </c>
      <c r="F61" t="s">
        <v>488</v>
      </c>
      <c r="G61" t="s">
        <v>64</v>
      </c>
      <c r="H61" s="147">
        <v>44208</v>
      </c>
      <c r="I61">
        <v>7</v>
      </c>
      <c r="J61" t="s">
        <v>199</v>
      </c>
      <c r="L61">
        <v>0</v>
      </c>
      <c r="M61">
        <v>0</v>
      </c>
      <c r="U61">
        <v>345</v>
      </c>
      <c r="V61">
        <v>291</v>
      </c>
      <c r="W61">
        <v>0</v>
      </c>
      <c r="X61">
        <v>0</v>
      </c>
      <c r="Y61">
        <v>8</v>
      </c>
      <c r="Z61">
        <v>8</v>
      </c>
      <c r="AA61">
        <v>0</v>
      </c>
      <c r="AB61">
        <v>0</v>
      </c>
      <c r="AC61">
        <v>0</v>
      </c>
      <c r="AD61">
        <v>0</v>
      </c>
      <c r="AG61" t="s">
        <v>258</v>
      </c>
      <c r="AH61" t="s">
        <v>435</v>
      </c>
      <c r="AI61">
        <v>157</v>
      </c>
      <c r="AJ61">
        <v>41</v>
      </c>
      <c r="AK61">
        <v>33</v>
      </c>
      <c r="AL61">
        <v>1</v>
      </c>
      <c r="AM61">
        <v>0</v>
      </c>
      <c r="AN61" t="s">
        <v>49</v>
      </c>
      <c r="AO61">
        <v>0.84347826086956523</v>
      </c>
      <c r="AP61">
        <v>68</v>
      </c>
    </row>
    <row r="62" spans="1:42" x14ac:dyDescent="0.35">
      <c r="A62">
        <v>97243</v>
      </c>
      <c r="B62">
        <v>8619</v>
      </c>
      <c r="C62">
        <v>950272</v>
      </c>
      <c r="D62">
        <v>411</v>
      </c>
      <c r="E62" s="147">
        <v>44207</v>
      </c>
      <c r="F62" t="s">
        <v>504</v>
      </c>
      <c r="G62" t="s">
        <v>289</v>
      </c>
      <c r="H62" s="147">
        <v>44208</v>
      </c>
      <c r="I62">
        <v>7</v>
      </c>
      <c r="J62" t="s">
        <v>199</v>
      </c>
      <c r="L62">
        <v>0</v>
      </c>
      <c r="M62">
        <v>0</v>
      </c>
      <c r="U62">
        <v>552</v>
      </c>
      <c r="V62">
        <v>447</v>
      </c>
      <c r="W62">
        <v>0</v>
      </c>
      <c r="X62">
        <v>0</v>
      </c>
      <c r="Y62">
        <v>25</v>
      </c>
      <c r="Z62">
        <v>19</v>
      </c>
      <c r="AA62">
        <v>0</v>
      </c>
      <c r="AB62">
        <v>0</v>
      </c>
      <c r="AC62">
        <v>0</v>
      </c>
      <c r="AD62">
        <v>0</v>
      </c>
      <c r="AG62" t="s">
        <v>258</v>
      </c>
      <c r="AH62" t="s">
        <v>435</v>
      </c>
      <c r="AI62">
        <v>214</v>
      </c>
      <c r="AJ62">
        <v>59</v>
      </c>
      <c r="AK62">
        <v>75</v>
      </c>
      <c r="AL62">
        <v>4</v>
      </c>
      <c r="AM62">
        <v>0</v>
      </c>
      <c r="AN62" t="s">
        <v>49</v>
      </c>
      <c r="AO62">
        <v>0.80978260869565222</v>
      </c>
      <c r="AP62">
        <v>101</v>
      </c>
    </row>
    <row r="63" spans="1:42" x14ac:dyDescent="0.35">
      <c r="A63">
        <v>97265</v>
      </c>
      <c r="B63">
        <v>8619</v>
      </c>
      <c r="C63">
        <v>950294</v>
      </c>
      <c r="D63">
        <v>401</v>
      </c>
      <c r="E63" s="147">
        <v>44207</v>
      </c>
      <c r="F63" t="s">
        <v>505</v>
      </c>
      <c r="G63" t="s">
        <v>133</v>
      </c>
      <c r="H63" s="147">
        <v>44208</v>
      </c>
      <c r="I63">
        <v>7</v>
      </c>
      <c r="J63" t="s">
        <v>199</v>
      </c>
      <c r="L63">
        <v>0</v>
      </c>
      <c r="M63">
        <v>0</v>
      </c>
      <c r="U63">
        <v>712</v>
      </c>
      <c r="V63">
        <v>642</v>
      </c>
      <c r="W63">
        <v>0</v>
      </c>
      <c r="X63">
        <v>0</v>
      </c>
      <c r="Y63">
        <v>40</v>
      </c>
      <c r="Z63">
        <v>33</v>
      </c>
      <c r="AA63">
        <v>0</v>
      </c>
      <c r="AB63">
        <v>0</v>
      </c>
      <c r="AC63">
        <v>0</v>
      </c>
      <c r="AD63">
        <v>0</v>
      </c>
      <c r="AG63" t="s">
        <v>255</v>
      </c>
      <c r="AH63" t="s">
        <v>435</v>
      </c>
      <c r="AI63">
        <v>367</v>
      </c>
      <c r="AJ63">
        <v>190</v>
      </c>
      <c r="AK63">
        <v>90</v>
      </c>
      <c r="AL63">
        <v>10</v>
      </c>
      <c r="AM63">
        <v>0</v>
      </c>
      <c r="AN63" t="s">
        <v>49</v>
      </c>
      <c r="AO63">
        <v>0.901685393258427</v>
      </c>
      <c r="AP63">
        <v>251</v>
      </c>
    </row>
    <row r="64" spans="1:42" x14ac:dyDescent="0.35">
      <c r="A64">
        <v>97277</v>
      </c>
      <c r="B64">
        <v>8619</v>
      </c>
      <c r="C64">
        <v>950306</v>
      </c>
      <c r="D64">
        <v>407</v>
      </c>
      <c r="E64" s="147">
        <v>44207</v>
      </c>
      <c r="F64" t="s">
        <v>499</v>
      </c>
      <c r="G64" t="s">
        <v>83</v>
      </c>
      <c r="H64" s="147">
        <v>44208</v>
      </c>
      <c r="I64">
        <v>7</v>
      </c>
      <c r="J64" t="s">
        <v>199</v>
      </c>
      <c r="L64">
        <v>0</v>
      </c>
      <c r="M64">
        <v>0</v>
      </c>
      <c r="U64">
        <v>502</v>
      </c>
      <c r="V64">
        <v>456</v>
      </c>
      <c r="W64">
        <v>0</v>
      </c>
      <c r="X64">
        <v>0</v>
      </c>
      <c r="Y64">
        <v>16</v>
      </c>
      <c r="Z64">
        <v>16</v>
      </c>
      <c r="AA64">
        <v>0</v>
      </c>
      <c r="AB64">
        <v>0</v>
      </c>
      <c r="AC64">
        <v>0</v>
      </c>
      <c r="AD64">
        <v>0</v>
      </c>
      <c r="AG64" t="s">
        <v>223</v>
      </c>
      <c r="AH64" t="s">
        <v>435</v>
      </c>
      <c r="AI64">
        <v>242</v>
      </c>
      <c r="AJ64">
        <v>71</v>
      </c>
      <c r="AK64">
        <v>92</v>
      </c>
      <c r="AL64">
        <v>5</v>
      </c>
      <c r="AM64">
        <v>0</v>
      </c>
      <c r="AN64" t="s">
        <v>49</v>
      </c>
      <c r="AO64">
        <v>0.9083665338645418</v>
      </c>
      <c r="AP64">
        <v>126</v>
      </c>
    </row>
    <row r="65" spans="1:42" x14ac:dyDescent="0.35">
      <c r="A65">
        <v>97302</v>
      </c>
      <c r="B65">
        <v>8619</v>
      </c>
      <c r="C65">
        <v>950331</v>
      </c>
      <c r="D65">
        <v>308</v>
      </c>
      <c r="E65" s="147">
        <v>44207</v>
      </c>
      <c r="F65" t="s">
        <v>496</v>
      </c>
      <c r="G65" t="s">
        <v>154</v>
      </c>
      <c r="H65" s="147">
        <v>44208</v>
      </c>
      <c r="I65">
        <v>7</v>
      </c>
      <c r="J65" t="s">
        <v>199</v>
      </c>
      <c r="L65">
        <v>0</v>
      </c>
      <c r="M65">
        <v>0</v>
      </c>
      <c r="U65">
        <v>335</v>
      </c>
      <c r="V65">
        <v>309</v>
      </c>
      <c r="W65">
        <v>0</v>
      </c>
      <c r="X65">
        <v>0</v>
      </c>
      <c r="Y65">
        <v>10</v>
      </c>
      <c r="Z65">
        <v>8</v>
      </c>
      <c r="AA65">
        <v>0</v>
      </c>
      <c r="AB65">
        <v>0</v>
      </c>
      <c r="AC65">
        <v>0</v>
      </c>
      <c r="AD65">
        <v>0</v>
      </c>
      <c r="AG65" t="s">
        <v>224</v>
      </c>
      <c r="AH65" t="s">
        <v>435</v>
      </c>
      <c r="AI65">
        <v>123</v>
      </c>
      <c r="AJ65">
        <v>21</v>
      </c>
      <c r="AK65">
        <v>79</v>
      </c>
      <c r="AL65">
        <v>3</v>
      </c>
      <c r="AM65">
        <v>0</v>
      </c>
      <c r="AN65" t="s">
        <v>49</v>
      </c>
      <c r="AO65">
        <v>0.92238805970149251</v>
      </c>
      <c r="AP65">
        <v>38</v>
      </c>
    </row>
    <row r="66" spans="1:42" x14ac:dyDescent="0.35">
      <c r="A66">
        <v>97340</v>
      </c>
      <c r="B66">
        <v>8619</v>
      </c>
      <c r="C66">
        <v>950369</v>
      </c>
      <c r="D66">
        <v>396</v>
      </c>
      <c r="E66" s="147">
        <v>44207</v>
      </c>
      <c r="F66" t="s">
        <v>501</v>
      </c>
      <c r="G66" t="s">
        <v>94</v>
      </c>
      <c r="H66" s="147">
        <v>44209</v>
      </c>
      <c r="I66">
        <v>7</v>
      </c>
      <c r="J66" t="s">
        <v>200</v>
      </c>
      <c r="L66">
        <v>0</v>
      </c>
      <c r="M66">
        <v>0</v>
      </c>
      <c r="U66">
        <v>287</v>
      </c>
      <c r="V66">
        <v>286</v>
      </c>
      <c r="W66">
        <v>0</v>
      </c>
      <c r="X66">
        <v>0</v>
      </c>
      <c r="Y66">
        <v>8</v>
      </c>
      <c r="Z66">
        <v>8</v>
      </c>
      <c r="AA66">
        <v>0</v>
      </c>
      <c r="AB66">
        <v>0</v>
      </c>
      <c r="AC66">
        <v>0</v>
      </c>
      <c r="AD66">
        <v>0</v>
      </c>
      <c r="AG66" t="s">
        <v>226</v>
      </c>
      <c r="AH66" t="s">
        <v>435</v>
      </c>
      <c r="AI66">
        <v>145</v>
      </c>
      <c r="AJ66">
        <v>38</v>
      </c>
      <c r="AK66">
        <v>42</v>
      </c>
      <c r="AL66">
        <v>5</v>
      </c>
      <c r="AM66">
        <v>0</v>
      </c>
      <c r="AN66" t="s">
        <v>49</v>
      </c>
      <c r="AO66">
        <v>0.99651567944250874</v>
      </c>
      <c r="AP66">
        <v>74</v>
      </c>
    </row>
    <row r="67" spans="1:42" x14ac:dyDescent="0.35">
      <c r="A67">
        <v>97347</v>
      </c>
      <c r="B67">
        <v>8619</v>
      </c>
      <c r="C67">
        <v>950376</v>
      </c>
      <c r="D67">
        <v>378</v>
      </c>
      <c r="E67" s="147">
        <v>44207</v>
      </c>
      <c r="F67" t="s">
        <v>497</v>
      </c>
      <c r="G67" t="s">
        <v>141</v>
      </c>
      <c r="H67" s="147">
        <v>44209</v>
      </c>
      <c r="I67">
        <v>7</v>
      </c>
      <c r="J67" t="s">
        <v>200</v>
      </c>
      <c r="L67">
        <v>0</v>
      </c>
      <c r="M67">
        <v>0</v>
      </c>
      <c r="U67">
        <v>386</v>
      </c>
      <c r="V67">
        <v>341</v>
      </c>
      <c r="W67">
        <v>0</v>
      </c>
      <c r="X67">
        <v>0</v>
      </c>
      <c r="Y67">
        <v>8</v>
      </c>
      <c r="Z67">
        <v>8</v>
      </c>
      <c r="AA67">
        <v>0</v>
      </c>
      <c r="AB67">
        <v>0</v>
      </c>
      <c r="AC67">
        <v>0</v>
      </c>
      <c r="AD67">
        <v>0</v>
      </c>
      <c r="AG67" t="s">
        <v>226</v>
      </c>
      <c r="AH67" t="s">
        <v>435</v>
      </c>
      <c r="AI67">
        <v>143</v>
      </c>
      <c r="AJ67">
        <v>34</v>
      </c>
      <c r="AK67">
        <v>55</v>
      </c>
      <c r="AL67">
        <v>6</v>
      </c>
      <c r="AM67">
        <v>0</v>
      </c>
      <c r="AN67" t="s">
        <v>49</v>
      </c>
      <c r="AO67">
        <v>0.88341968911917101</v>
      </c>
      <c r="AP67">
        <v>70</v>
      </c>
    </row>
    <row r="68" spans="1:42" x14ac:dyDescent="0.35">
      <c r="A68">
        <v>97359</v>
      </c>
      <c r="B68">
        <v>8619</v>
      </c>
      <c r="C68">
        <v>950388</v>
      </c>
      <c r="D68">
        <v>334</v>
      </c>
      <c r="E68" s="147">
        <v>44207</v>
      </c>
      <c r="F68" t="s">
        <v>488</v>
      </c>
      <c r="G68" t="s">
        <v>64</v>
      </c>
      <c r="H68" s="147">
        <v>44209</v>
      </c>
      <c r="I68">
        <v>7</v>
      </c>
      <c r="J68" t="s">
        <v>200</v>
      </c>
      <c r="L68">
        <v>0</v>
      </c>
      <c r="M68">
        <v>0</v>
      </c>
      <c r="U68">
        <v>344</v>
      </c>
      <c r="V68">
        <v>281</v>
      </c>
      <c r="W68">
        <v>0</v>
      </c>
      <c r="X68">
        <v>0</v>
      </c>
      <c r="Y68">
        <v>7</v>
      </c>
      <c r="Z68">
        <v>7</v>
      </c>
      <c r="AA68">
        <v>0</v>
      </c>
      <c r="AB68">
        <v>0</v>
      </c>
      <c r="AC68">
        <v>0</v>
      </c>
      <c r="AD68">
        <v>0</v>
      </c>
      <c r="AG68" t="s">
        <v>258</v>
      </c>
      <c r="AH68" t="s">
        <v>435</v>
      </c>
      <c r="AI68">
        <v>152</v>
      </c>
      <c r="AJ68">
        <v>42</v>
      </c>
      <c r="AK68">
        <v>43</v>
      </c>
      <c r="AL68">
        <v>1</v>
      </c>
      <c r="AM68">
        <v>0</v>
      </c>
      <c r="AN68" t="s">
        <v>49</v>
      </c>
      <c r="AO68">
        <v>0.81686046511627908</v>
      </c>
      <c r="AP68">
        <v>68</v>
      </c>
    </row>
    <row r="69" spans="1:42" x14ac:dyDescent="0.35">
      <c r="A69">
        <v>97363</v>
      </c>
      <c r="B69">
        <v>8619</v>
      </c>
      <c r="C69">
        <v>950392</v>
      </c>
      <c r="D69">
        <v>511</v>
      </c>
      <c r="E69" s="147">
        <v>44207</v>
      </c>
      <c r="F69" t="s">
        <v>506</v>
      </c>
      <c r="G69" t="s">
        <v>81</v>
      </c>
      <c r="H69" s="147">
        <v>44209</v>
      </c>
      <c r="I69">
        <v>7</v>
      </c>
      <c r="J69" t="s">
        <v>200</v>
      </c>
      <c r="L69">
        <v>0</v>
      </c>
      <c r="M69">
        <v>0</v>
      </c>
      <c r="U69">
        <v>859</v>
      </c>
      <c r="V69">
        <v>685</v>
      </c>
      <c r="W69">
        <v>0</v>
      </c>
      <c r="X69">
        <v>0</v>
      </c>
      <c r="Y69">
        <v>26</v>
      </c>
      <c r="Z69">
        <v>23</v>
      </c>
      <c r="AA69">
        <v>0</v>
      </c>
      <c r="AB69">
        <v>0</v>
      </c>
      <c r="AC69">
        <v>0</v>
      </c>
      <c r="AD69">
        <v>0</v>
      </c>
      <c r="AG69" t="s">
        <v>258</v>
      </c>
      <c r="AH69" t="s">
        <v>435</v>
      </c>
      <c r="AI69">
        <v>300</v>
      </c>
      <c r="AJ69">
        <v>88</v>
      </c>
      <c r="AK69">
        <v>115</v>
      </c>
      <c r="AL69">
        <v>5</v>
      </c>
      <c r="AM69">
        <v>0</v>
      </c>
      <c r="AN69" t="s">
        <v>49</v>
      </c>
      <c r="AO69">
        <v>0.79743888242142025</v>
      </c>
      <c r="AP69">
        <v>151</v>
      </c>
    </row>
    <row r="70" spans="1:42" x14ac:dyDescent="0.35">
      <c r="A70">
        <v>97365</v>
      </c>
      <c r="B70">
        <v>8619</v>
      </c>
      <c r="C70">
        <v>950394</v>
      </c>
      <c r="D70">
        <v>435</v>
      </c>
      <c r="E70" s="147">
        <v>44207</v>
      </c>
      <c r="F70" t="s">
        <v>489</v>
      </c>
      <c r="G70" t="s">
        <v>93</v>
      </c>
      <c r="H70" s="147">
        <v>44209</v>
      </c>
      <c r="I70">
        <v>7</v>
      </c>
      <c r="J70" t="s">
        <v>200</v>
      </c>
      <c r="L70">
        <v>0</v>
      </c>
      <c r="M70">
        <v>0</v>
      </c>
      <c r="U70">
        <v>437</v>
      </c>
      <c r="V70">
        <v>385</v>
      </c>
      <c r="W70">
        <v>0</v>
      </c>
      <c r="X70">
        <v>0</v>
      </c>
      <c r="Y70">
        <v>25</v>
      </c>
      <c r="Z70">
        <v>16</v>
      </c>
      <c r="AA70">
        <v>0</v>
      </c>
      <c r="AB70">
        <v>0</v>
      </c>
      <c r="AC70">
        <v>0</v>
      </c>
      <c r="AD70">
        <v>0</v>
      </c>
      <c r="AG70" t="s">
        <v>258</v>
      </c>
      <c r="AH70" t="s">
        <v>435</v>
      </c>
      <c r="AI70">
        <v>170</v>
      </c>
      <c r="AJ70">
        <v>36</v>
      </c>
      <c r="AK70">
        <v>75</v>
      </c>
      <c r="AL70">
        <v>1</v>
      </c>
      <c r="AM70">
        <v>0</v>
      </c>
      <c r="AN70" t="s">
        <v>49</v>
      </c>
      <c r="AO70">
        <v>0.8810068649885584</v>
      </c>
      <c r="AP70">
        <v>74</v>
      </c>
    </row>
    <row r="71" spans="1:42" x14ac:dyDescent="0.35">
      <c r="A71">
        <v>97370</v>
      </c>
      <c r="B71">
        <v>8619</v>
      </c>
      <c r="C71">
        <v>950399</v>
      </c>
      <c r="D71">
        <v>411</v>
      </c>
      <c r="E71" s="147">
        <v>44207</v>
      </c>
      <c r="F71" t="s">
        <v>504</v>
      </c>
      <c r="G71" t="s">
        <v>289</v>
      </c>
      <c r="H71" s="147">
        <v>44209</v>
      </c>
      <c r="I71">
        <v>7</v>
      </c>
      <c r="J71" t="s">
        <v>200</v>
      </c>
      <c r="L71">
        <v>0</v>
      </c>
      <c r="M71">
        <v>0</v>
      </c>
      <c r="U71">
        <v>552</v>
      </c>
      <c r="V71">
        <v>409</v>
      </c>
      <c r="W71">
        <v>0</v>
      </c>
      <c r="X71">
        <v>0</v>
      </c>
      <c r="Y71">
        <v>24</v>
      </c>
      <c r="Z71">
        <v>19</v>
      </c>
      <c r="AA71">
        <v>0</v>
      </c>
      <c r="AB71">
        <v>0</v>
      </c>
      <c r="AC71">
        <v>0</v>
      </c>
      <c r="AD71">
        <v>0</v>
      </c>
      <c r="AG71" t="s">
        <v>258</v>
      </c>
      <c r="AH71" t="s">
        <v>435</v>
      </c>
      <c r="AI71">
        <v>213</v>
      </c>
      <c r="AJ71">
        <v>59</v>
      </c>
      <c r="AK71">
        <v>81</v>
      </c>
      <c r="AL71">
        <v>7</v>
      </c>
      <c r="AM71">
        <v>0</v>
      </c>
      <c r="AN71" t="s">
        <v>49</v>
      </c>
      <c r="AO71">
        <v>0.74094202898550721</v>
      </c>
      <c r="AP71">
        <v>100</v>
      </c>
    </row>
    <row r="72" spans="1:42" x14ac:dyDescent="0.35">
      <c r="A72">
        <v>97371</v>
      </c>
      <c r="B72">
        <v>8619</v>
      </c>
      <c r="C72">
        <v>950400</v>
      </c>
      <c r="D72">
        <v>470</v>
      </c>
      <c r="E72" s="147">
        <v>44207</v>
      </c>
      <c r="F72" t="s">
        <v>494</v>
      </c>
      <c r="G72" t="s">
        <v>119</v>
      </c>
      <c r="H72" s="147">
        <v>44209</v>
      </c>
      <c r="I72">
        <v>7</v>
      </c>
      <c r="J72" t="s">
        <v>200</v>
      </c>
      <c r="L72">
        <v>0</v>
      </c>
      <c r="M72">
        <v>0</v>
      </c>
      <c r="U72">
        <v>462</v>
      </c>
      <c r="V72">
        <v>410</v>
      </c>
      <c r="W72">
        <v>0</v>
      </c>
      <c r="X72">
        <v>0</v>
      </c>
      <c r="Y72">
        <v>39</v>
      </c>
      <c r="Z72">
        <v>20</v>
      </c>
      <c r="AA72">
        <v>0</v>
      </c>
      <c r="AB72">
        <v>0</v>
      </c>
      <c r="AC72">
        <v>0</v>
      </c>
      <c r="AD72">
        <v>0</v>
      </c>
      <c r="AG72" t="s">
        <v>258</v>
      </c>
      <c r="AH72" t="s">
        <v>435</v>
      </c>
      <c r="AI72">
        <v>180</v>
      </c>
      <c r="AJ72">
        <v>51</v>
      </c>
      <c r="AK72">
        <v>60</v>
      </c>
      <c r="AL72">
        <v>1</v>
      </c>
      <c r="AM72">
        <v>0</v>
      </c>
      <c r="AN72" t="s">
        <v>49</v>
      </c>
      <c r="AO72">
        <v>0.88744588744588748</v>
      </c>
      <c r="AP72">
        <v>85</v>
      </c>
    </row>
    <row r="73" spans="1:42" x14ac:dyDescent="0.35">
      <c r="A73">
        <v>97385</v>
      </c>
      <c r="B73">
        <v>8619</v>
      </c>
      <c r="C73">
        <v>950414</v>
      </c>
      <c r="D73">
        <v>383</v>
      </c>
      <c r="E73" s="147">
        <v>44207</v>
      </c>
      <c r="F73" t="s">
        <v>500</v>
      </c>
      <c r="G73" t="s">
        <v>87</v>
      </c>
      <c r="H73" s="147">
        <v>44209</v>
      </c>
      <c r="I73">
        <v>7</v>
      </c>
      <c r="J73" t="s">
        <v>200</v>
      </c>
      <c r="L73">
        <v>0</v>
      </c>
      <c r="M73">
        <v>0</v>
      </c>
      <c r="U73">
        <v>269</v>
      </c>
      <c r="V73">
        <v>256</v>
      </c>
      <c r="W73">
        <v>0</v>
      </c>
      <c r="X73">
        <v>0</v>
      </c>
      <c r="Y73">
        <v>9</v>
      </c>
      <c r="Z73">
        <v>8</v>
      </c>
      <c r="AA73">
        <v>0</v>
      </c>
      <c r="AB73">
        <v>0</v>
      </c>
      <c r="AC73">
        <v>0</v>
      </c>
      <c r="AD73">
        <v>0</v>
      </c>
      <c r="AG73" t="s">
        <v>255</v>
      </c>
      <c r="AH73" t="s">
        <v>435</v>
      </c>
      <c r="AI73">
        <v>125</v>
      </c>
      <c r="AJ73">
        <v>55</v>
      </c>
      <c r="AK73">
        <v>40</v>
      </c>
      <c r="AL73">
        <v>4</v>
      </c>
      <c r="AM73">
        <v>0</v>
      </c>
      <c r="AN73" t="s">
        <v>49</v>
      </c>
      <c r="AO73">
        <v>0.95167286245353155</v>
      </c>
      <c r="AP73">
        <v>87</v>
      </c>
    </row>
    <row r="74" spans="1:42" x14ac:dyDescent="0.35">
      <c r="A74">
        <v>97423</v>
      </c>
      <c r="B74">
        <v>8619</v>
      </c>
      <c r="C74">
        <v>950452</v>
      </c>
      <c r="D74">
        <v>327</v>
      </c>
      <c r="E74" s="147">
        <v>44207</v>
      </c>
      <c r="F74" t="s">
        <v>495</v>
      </c>
      <c r="G74" t="s">
        <v>122</v>
      </c>
      <c r="H74" s="147">
        <v>44209</v>
      </c>
      <c r="I74">
        <v>7</v>
      </c>
      <c r="J74" t="s">
        <v>200</v>
      </c>
      <c r="L74">
        <v>0</v>
      </c>
      <c r="M74">
        <v>0</v>
      </c>
      <c r="U74">
        <v>288</v>
      </c>
      <c r="V74">
        <v>230</v>
      </c>
      <c r="W74">
        <v>0</v>
      </c>
      <c r="X74">
        <v>0</v>
      </c>
      <c r="Y74">
        <v>8</v>
      </c>
      <c r="Z74">
        <v>4</v>
      </c>
      <c r="AA74">
        <v>0</v>
      </c>
      <c r="AB74">
        <v>0</v>
      </c>
      <c r="AC74">
        <v>0</v>
      </c>
      <c r="AD74">
        <v>0</v>
      </c>
      <c r="AG74" t="s">
        <v>224</v>
      </c>
      <c r="AH74" t="s">
        <v>435</v>
      </c>
      <c r="AI74">
        <v>86</v>
      </c>
      <c r="AJ74">
        <v>22</v>
      </c>
      <c r="AK74">
        <v>39</v>
      </c>
      <c r="AL74">
        <v>2</v>
      </c>
      <c r="AM74">
        <v>0</v>
      </c>
      <c r="AN74" t="s">
        <v>49</v>
      </c>
      <c r="AO74">
        <v>0.79861111111111116</v>
      </c>
      <c r="AP74">
        <v>39</v>
      </c>
    </row>
    <row r="75" spans="1:42" x14ac:dyDescent="0.35">
      <c r="A75">
        <v>97467</v>
      </c>
      <c r="B75">
        <v>8619</v>
      </c>
      <c r="C75">
        <v>950496</v>
      </c>
      <c r="D75">
        <v>396</v>
      </c>
      <c r="E75" s="147">
        <v>44207</v>
      </c>
      <c r="F75" t="s">
        <v>501</v>
      </c>
      <c r="G75" t="s">
        <v>94</v>
      </c>
      <c r="H75" s="147">
        <v>44210</v>
      </c>
      <c r="I75">
        <v>7</v>
      </c>
      <c r="J75" t="s">
        <v>198</v>
      </c>
      <c r="L75">
        <v>0</v>
      </c>
      <c r="M75">
        <v>0</v>
      </c>
      <c r="U75">
        <v>294</v>
      </c>
      <c r="V75">
        <v>284</v>
      </c>
      <c r="W75">
        <v>0</v>
      </c>
      <c r="X75">
        <v>0</v>
      </c>
      <c r="Y75">
        <v>8</v>
      </c>
      <c r="Z75">
        <v>8</v>
      </c>
      <c r="AA75">
        <v>0</v>
      </c>
      <c r="AB75">
        <v>0</v>
      </c>
      <c r="AC75">
        <v>0</v>
      </c>
      <c r="AD75">
        <v>0</v>
      </c>
      <c r="AG75" t="s">
        <v>226</v>
      </c>
      <c r="AH75" t="s">
        <v>435</v>
      </c>
      <c r="AI75">
        <v>140</v>
      </c>
      <c r="AJ75">
        <v>39</v>
      </c>
      <c r="AK75">
        <v>48</v>
      </c>
      <c r="AL75">
        <v>13</v>
      </c>
      <c r="AM75">
        <v>0</v>
      </c>
      <c r="AN75" t="s">
        <v>49</v>
      </c>
      <c r="AO75">
        <v>0.96598639455782309</v>
      </c>
      <c r="AP75">
        <v>74</v>
      </c>
    </row>
    <row r="76" spans="1:42" x14ac:dyDescent="0.35">
      <c r="A76">
        <v>97486</v>
      </c>
      <c r="B76">
        <v>8619</v>
      </c>
      <c r="C76">
        <v>950515</v>
      </c>
      <c r="D76">
        <v>334</v>
      </c>
      <c r="E76" s="147">
        <v>44207</v>
      </c>
      <c r="F76" t="s">
        <v>488</v>
      </c>
      <c r="G76" t="s">
        <v>64</v>
      </c>
      <c r="H76" s="147">
        <v>44210</v>
      </c>
      <c r="I76">
        <v>7</v>
      </c>
      <c r="J76" t="s">
        <v>198</v>
      </c>
      <c r="L76">
        <v>0</v>
      </c>
      <c r="M76">
        <v>0</v>
      </c>
      <c r="U76">
        <v>343</v>
      </c>
      <c r="V76">
        <v>285</v>
      </c>
      <c r="W76">
        <v>0</v>
      </c>
      <c r="X76">
        <v>0</v>
      </c>
      <c r="Y76">
        <v>8</v>
      </c>
      <c r="Z76">
        <v>8</v>
      </c>
      <c r="AA76">
        <v>0</v>
      </c>
      <c r="AB76">
        <v>0</v>
      </c>
      <c r="AC76">
        <v>0</v>
      </c>
      <c r="AD76">
        <v>0</v>
      </c>
      <c r="AG76" t="s">
        <v>258</v>
      </c>
      <c r="AH76" t="s">
        <v>435</v>
      </c>
      <c r="AI76">
        <v>151</v>
      </c>
      <c r="AJ76">
        <v>39</v>
      </c>
      <c r="AK76">
        <v>31</v>
      </c>
      <c r="AL76">
        <v>2</v>
      </c>
      <c r="AM76">
        <v>0</v>
      </c>
      <c r="AN76" t="s">
        <v>49</v>
      </c>
      <c r="AO76">
        <v>0.83090379008746351</v>
      </c>
      <c r="AP76">
        <v>68</v>
      </c>
    </row>
    <row r="77" spans="1:42" x14ac:dyDescent="0.35">
      <c r="A77">
        <v>97490</v>
      </c>
      <c r="B77">
        <v>8619</v>
      </c>
      <c r="C77">
        <v>950519</v>
      </c>
      <c r="D77">
        <v>511</v>
      </c>
      <c r="E77" s="147">
        <v>44207</v>
      </c>
      <c r="F77" t="s">
        <v>506</v>
      </c>
      <c r="G77" t="s">
        <v>81</v>
      </c>
      <c r="H77" s="147">
        <v>44210</v>
      </c>
      <c r="I77">
        <v>7</v>
      </c>
      <c r="J77" t="s">
        <v>198</v>
      </c>
      <c r="L77">
        <v>0</v>
      </c>
      <c r="M77">
        <v>0</v>
      </c>
      <c r="U77">
        <v>851</v>
      </c>
      <c r="V77">
        <v>690</v>
      </c>
      <c r="W77">
        <v>0</v>
      </c>
      <c r="X77">
        <v>0</v>
      </c>
      <c r="Y77">
        <v>26</v>
      </c>
      <c r="Z77">
        <v>23</v>
      </c>
      <c r="AA77">
        <v>0</v>
      </c>
      <c r="AB77">
        <v>0</v>
      </c>
      <c r="AC77">
        <v>0</v>
      </c>
      <c r="AD77">
        <v>0</v>
      </c>
      <c r="AG77" t="s">
        <v>258</v>
      </c>
      <c r="AH77" t="s">
        <v>435</v>
      </c>
      <c r="AI77">
        <v>288</v>
      </c>
      <c r="AJ77">
        <v>88</v>
      </c>
      <c r="AK77">
        <v>126</v>
      </c>
      <c r="AL77">
        <v>6</v>
      </c>
      <c r="AM77">
        <v>0</v>
      </c>
      <c r="AN77" t="s">
        <v>49</v>
      </c>
      <c r="AO77">
        <v>0.81081081081081086</v>
      </c>
      <c r="AP77">
        <v>143</v>
      </c>
    </row>
    <row r="78" spans="1:42" x14ac:dyDescent="0.35">
      <c r="A78">
        <v>97498</v>
      </c>
      <c r="B78">
        <v>8619</v>
      </c>
      <c r="C78">
        <v>950527</v>
      </c>
      <c r="D78">
        <v>470</v>
      </c>
      <c r="E78" s="147">
        <v>44207</v>
      </c>
      <c r="F78" t="s">
        <v>494</v>
      </c>
      <c r="G78" t="s">
        <v>119</v>
      </c>
      <c r="H78" s="147">
        <v>44210</v>
      </c>
      <c r="I78">
        <v>7</v>
      </c>
      <c r="J78" t="s">
        <v>198</v>
      </c>
      <c r="L78">
        <v>0</v>
      </c>
      <c r="M78">
        <v>0</v>
      </c>
      <c r="U78">
        <v>531</v>
      </c>
      <c r="V78">
        <v>462</v>
      </c>
      <c r="W78">
        <v>0</v>
      </c>
      <c r="X78">
        <v>0</v>
      </c>
      <c r="Y78">
        <v>39</v>
      </c>
      <c r="Z78">
        <v>22</v>
      </c>
      <c r="AA78">
        <v>0</v>
      </c>
      <c r="AB78">
        <v>0</v>
      </c>
      <c r="AC78">
        <v>0</v>
      </c>
      <c r="AD78">
        <v>0</v>
      </c>
      <c r="AG78" t="s">
        <v>258</v>
      </c>
      <c r="AH78" t="s">
        <v>435</v>
      </c>
      <c r="AI78">
        <v>193</v>
      </c>
      <c r="AJ78">
        <v>51</v>
      </c>
      <c r="AK78">
        <v>53</v>
      </c>
      <c r="AL78">
        <v>5</v>
      </c>
      <c r="AM78">
        <v>0</v>
      </c>
      <c r="AN78" t="s">
        <v>49</v>
      </c>
      <c r="AO78">
        <v>0.87005649717514122</v>
      </c>
      <c r="AP78">
        <v>90</v>
      </c>
    </row>
    <row r="79" spans="1:42" x14ac:dyDescent="0.35">
      <c r="A79">
        <v>97512</v>
      </c>
      <c r="B79">
        <v>8619</v>
      </c>
      <c r="C79">
        <v>950541</v>
      </c>
      <c r="D79">
        <v>383</v>
      </c>
      <c r="E79" s="147">
        <v>44207</v>
      </c>
      <c r="F79" t="s">
        <v>500</v>
      </c>
      <c r="G79" t="s">
        <v>87</v>
      </c>
      <c r="H79" s="147">
        <v>44210</v>
      </c>
      <c r="I79">
        <v>7</v>
      </c>
      <c r="J79" t="s">
        <v>198</v>
      </c>
      <c r="L79">
        <v>0</v>
      </c>
      <c r="M79">
        <v>0</v>
      </c>
      <c r="U79">
        <v>301</v>
      </c>
      <c r="V79">
        <v>279</v>
      </c>
      <c r="W79">
        <v>0</v>
      </c>
      <c r="X79">
        <v>0</v>
      </c>
      <c r="Y79">
        <v>9</v>
      </c>
      <c r="Z79">
        <v>8</v>
      </c>
      <c r="AA79">
        <v>0</v>
      </c>
      <c r="AB79">
        <v>0</v>
      </c>
      <c r="AC79">
        <v>0</v>
      </c>
      <c r="AD79">
        <v>0</v>
      </c>
      <c r="AG79" t="s">
        <v>255</v>
      </c>
      <c r="AH79" t="s">
        <v>435</v>
      </c>
      <c r="AI79">
        <v>121</v>
      </c>
      <c r="AJ79">
        <v>51</v>
      </c>
      <c r="AK79">
        <v>32</v>
      </c>
      <c r="AL79">
        <v>3</v>
      </c>
      <c r="AM79">
        <v>0</v>
      </c>
      <c r="AN79" t="s">
        <v>49</v>
      </c>
      <c r="AO79">
        <v>0.92691029900332222</v>
      </c>
      <c r="AP79">
        <v>78</v>
      </c>
    </row>
    <row r="80" spans="1:42" x14ac:dyDescent="0.35">
      <c r="A80">
        <v>97536</v>
      </c>
      <c r="B80">
        <v>8619</v>
      </c>
      <c r="C80">
        <v>950565</v>
      </c>
      <c r="D80">
        <v>300</v>
      </c>
      <c r="E80" s="147">
        <v>44207</v>
      </c>
      <c r="F80" t="s">
        <v>491</v>
      </c>
      <c r="G80" t="s">
        <v>102</v>
      </c>
      <c r="H80" s="147">
        <v>44210</v>
      </c>
      <c r="I80">
        <v>7</v>
      </c>
      <c r="J80" t="s">
        <v>198</v>
      </c>
      <c r="L80">
        <v>0</v>
      </c>
      <c r="M80">
        <v>0</v>
      </c>
      <c r="U80">
        <v>222</v>
      </c>
      <c r="V80">
        <v>210</v>
      </c>
      <c r="W80">
        <v>0</v>
      </c>
      <c r="X80">
        <v>0</v>
      </c>
      <c r="Y80">
        <v>16</v>
      </c>
      <c r="Z80">
        <v>16</v>
      </c>
      <c r="AA80">
        <v>0</v>
      </c>
      <c r="AB80">
        <v>0</v>
      </c>
      <c r="AC80">
        <v>0</v>
      </c>
      <c r="AD80">
        <v>0</v>
      </c>
      <c r="AG80" t="s">
        <v>223</v>
      </c>
      <c r="AH80" t="s">
        <v>435</v>
      </c>
      <c r="AI80">
        <v>90</v>
      </c>
      <c r="AJ80">
        <v>13</v>
      </c>
      <c r="AK80">
        <v>50</v>
      </c>
      <c r="AL80">
        <v>1</v>
      </c>
      <c r="AM80">
        <v>0</v>
      </c>
      <c r="AN80" t="s">
        <v>49</v>
      </c>
      <c r="AO80">
        <v>0.94594594594594594</v>
      </c>
      <c r="AP80">
        <v>37</v>
      </c>
    </row>
    <row r="81" spans="1:42" x14ac:dyDescent="0.35">
      <c r="A81">
        <v>97550</v>
      </c>
      <c r="B81">
        <v>8619</v>
      </c>
      <c r="C81">
        <v>950579</v>
      </c>
      <c r="D81">
        <v>327</v>
      </c>
      <c r="E81" s="147">
        <v>44207</v>
      </c>
      <c r="F81" t="s">
        <v>495</v>
      </c>
      <c r="G81" t="s">
        <v>122</v>
      </c>
      <c r="H81" s="147">
        <v>44210</v>
      </c>
      <c r="I81">
        <v>7</v>
      </c>
      <c r="J81" t="s">
        <v>198</v>
      </c>
      <c r="L81">
        <v>0</v>
      </c>
      <c r="M81">
        <v>0</v>
      </c>
      <c r="U81">
        <v>289</v>
      </c>
      <c r="V81">
        <v>218</v>
      </c>
      <c r="W81">
        <v>0</v>
      </c>
      <c r="X81">
        <v>0</v>
      </c>
      <c r="Y81">
        <v>8</v>
      </c>
      <c r="Z81">
        <v>5</v>
      </c>
      <c r="AA81">
        <v>0</v>
      </c>
      <c r="AB81">
        <v>0</v>
      </c>
      <c r="AC81">
        <v>0</v>
      </c>
      <c r="AD81">
        <v>0</v>
      </c>
      <c r="AG81" t="s">
        <v>224</v>
      </c>
      <c r="AH81" t="s">
        <v>435</v>
      </c>
      <c r="AI81">
        <v>79</v>
      </c>
      <c r="AJ81">
        <v>20</v>
      </c>
      <c r="AK81">
        <v>37</v>
      </c>
      <c r="AL81">
        <v>1</v>
      </c>
      <c r="AM81">
        <v>0</v>
      </c>
      <c r="AN81" t="s">
        <v>49</v>
      </c>
      <c r="AO81">
        <v>0.75432525951557095</v>
      </c>
      <c r="AP81">
        <v>35</v>
      </c>
    </row>
    <row r="82" spans="1:42" x14ac:dyDescent="0.35">
      <c r="A82">
        <v>97556</v>
      </c>
      <c r="B82">
        <v>8619</v>
      </c>
      <c r="C82">
        <v>950585</v>
      </c>
      <c r="D82">
        <v>308</v>
      </c>
      <c r="E82" s="147">
        <v>44207</v>
      </c>
      <c r="F82" t="s">
        <v>496</v>
      </c>
      <c r="G82" t="s">
        <v>154</v>
      </c>
      <c r="H82" s="147">
        <v>44210</v>
      </c>
      <c r="I82">
        <v>7</v>
      </c>
      <c r="J82" t="s">
        <v>198</v>
      </c>
      <c r="L82">
        <v>0</v>
      </c>
      <c r="M82">
        <v>0</v>
      </c>
      <c r="U82">
        <v>327</v>
      </c>
      <c r="V82">
        <v>294</v>
      </c>
      <c r="W82">
        <v>0</v>
      </c>
      <c r="X82">
        <v>0</v>
      </c>
      <c r="Y82">
        <v>10</v>
      </c>
      <c r="Z82">
        <v>5</v>
      </c>
      <c r="AA82">
        <v>0</v>
      </c>
      <c r="AB82">
        <v>0</v>
      </c>
      <c r="AC82">
        <v>0</v>
      </c>
      <c r="AD82">
        <v>0</v>
      </c>
      <c r="AG82" t="s">
        <v>224</v>
      </c>
      <c r="AH82" t="s">
        <v>435</v>
      </c>
      <c r="AI82">
        <v>121</v>
      </c>
      <c r="AJ82">
        <v>19</v>
      </c>
      <c r="AK82">
        <v>71</v>
      </c>
      <c r="AL82">
        <v>1</v>
      </c>
      <c r="AM82">
        <v>0</v>
      </c>
      <c r="AN82" t="s">
        <v>49</v>
      </c>
      <c r="AO82">
        <v>0.8990825688073395</v>
      </c>
      <c r="AP82">
        <v>41</v>
      </c>
    </row>
    <row r="83" spans="1:42" x14ac:dyDescent="0.35">
      <c r="A83">
        <v>97594</v>
      </c>
      <c r="B83">
        <v>8619</v>
      </c>
      <c r="C83">
        <v>950623</v>
      </c>
      <c r="D83">
        <v>396</v>
      </c>
      <c r="E83" s="147">
        <v>44207</v>
      </c>
      <c r="F83" t="s">
        <v>501</v>
      </c>
      <c r="G83" t="s">
        <v>94</v>
      </c>
      <c r="H83" s="147">
        <v>44211</v>
      </c>
      <c r="I83">
        <v>7</v>
      </c>
      <c r="J83" t="s">
        <v>194</v>
      </c>
      <c r="L83">
        <v>0</v>
      </c>
      <c r="M83">
        <v>0</v>
      </c>
      <c r="U83">
        <v>292</v>
      </c>
      <c r="V83">
        <v>270</v>
      </c>
      <c r="W83">
        <v>0</v>
      </c>
      <c r="X83">
        <v>0</v>
      </c>
      <c r="Y83">
        <v>8</v>
      </c>
      <c r="Z83">
        <v>8</v>
      </c>
      <c r="AA83">
        <v>0</v>
      </c>
      <c r="AB83">
        <v>0</v>
      </c>
      <c r="AC83">
        <v>0</v>
      </c>
      <c r="AD83">
        <v>0</v>
      </c>
      <c r="AG83" t="s">
        <v>226</v>
      </c>
      <c r="AH83" t="s">
        <v>435</v>
      </c>
      <c r="AI83">
        <v>130</v>
      </c>
      <c r="AJ83">
        <v>38</v>
      </c>
      <c r="AK83">
        <v>58</v>
      </c>
      <c r="AL83">
        <v>12</v>
      </c>
      <c r="AM83">
        <v>0</v>
      </c>
      <c r="AN83" t="s">
        <v>49</v>
      </c>
      <c r="AO83">
        <v>0.92465753424657537</v>
      </c>
      <c r="AP83">
        <v>76</v>
      </c>
    </row>
    <row r="84" spans="1:42" x14ac:dyDescent="0.35">
      <c r="A84">
        <v>97601</v>
      </c>
      <c r="B84">
        <v>8619</v>
      </c>
      <c r="C84">
        <v>950630</v>
      </c>
      <c r="D84">
        <v>378</v>
      </c>
      <c r="E84" s="147">
        <v>44207</v>
      </c>
      <c r="F84" t="s">
        <v>497</v>
      </c>
      <c r="G84" t="s">
        <v>141</v>
      </c>
      <c r="H84" s="147">
        <v>44211</v>
      </c>
      <c r="I84">
        <v>7</v>
      </c>
      <c r="J84" t="s">
        <v>194</v>
      </c>
      <c r="L84">
        <v>0</v>
      </c>
      <c r="M84">
        <v>0</v>
      </c>
      <c r="U84">
        <v>375</v>
      </c>
      <c r="V84">
        <v>321</v>
      </c>
      <c r="W84">
        <v>0</v>
      </c>
      <c r="X84">
        <v>0</v>
      </c>
      <c r="Y84">
        <v>11</v>
      </c>
      <c r="Z84">
        <v>8</v>
      </c>
      <c r="AA84">
        <v>0</v>
      </c>
      <c r="AB84">
        <v>0</v>
      </c>
      <c r="AC84">
        <v>0</v>
      </c>
      <c r="AD84">
        <v>0</v>
      </c>
      <c r="AG84" t="s">
        <v>226</v>
      </c>
      <c r="AH84" t="s">
        <v>435</v>
      </c>
      <c r="AI84">
        <v>144</v>
      </c>
      <c r="AJ84">
        <v>35</v>
      </c>
      <c r="AK84">
        <v>49</v>
      </c>
      <c r="AL84">
        <v>5</v>
      </c>
      <c r="AM84">
        <v>0</v>
      </c>
      <c r="AN84" t="s">
        <v>49</v>
      </c>
      <c r="AO84">
        <v>0.85599999999999998</v>
      </c>
      <c r="AP84">
        <v>75</v>
      </c>
    </row>
    <row r="85" spans="1:42" x14ac:dyDescent="0.35">
      <c r="A85">
        <v>97613</v>
      </c>
      <c r="B85">
        <v>8619</v>
      </c>
      <c r="C85">
        <v>950642</v>
      </c>
      <c r="D85">
        <v>334</v>
      </c>
      <c r="E85" s="147">
        <v>44207</v>
      </c>
      <c r="F85" t="s">
        <v>488</v>
      </c>
      <c r="G85" t="s">
        <v>64</v>
      </c>
      <c r="H85" s="147">
        <v>44211</v>
      </c>
      <c r="I85">
        <v>7</v>
      </c>
      <c r="J85" t="s">
        <v>194</v>
      </c>
      <c r="L85">
        <v>0</v>
      </c>
      <c r="M85">
        <v>0</v>
      </c>
      <c r="U85">
        <v>344</v>
      </c>
      <c r="V85">
        <v>292</v>
      </c>
      <c r="W85">
        <v>0</v>
      </c>
      <c r="X85">
        <v>0</v>
      </c>
      <c r="Y85">
        <v>9</v>
      </c>
      <c r="Z85">
        <v>9</v>
      </c>
      <c r="AA85">
        <v>0</v>
      </c>
      <c r="AB85">
        <v>0</v>
      </c>
      <c r="AC85">
        <v>0</v>
      </c>
      <c r="AD85">
        <v>0</v>
      </c>
      <c r="AG85" t="s">
        <v>258</v>
      </c>
      <c r="AH85" t="s">
        <v>435</v>
      </c>
      <c r="AI85">
        <v>149</v>
      </c>
      <c r="AJ85">
        <v>38</v>
      </c>
      <c r="AK85">
        <v>34</v>
      </c>
      <c r="AL85">
        <v>1</v>
      </c>
      <c r="AM85">
        <v>0</v>
      </c>
      <c r="AN85" t="s">
        <v>49</v>
      </c>
      <c r="AO85">
        <v>0.84883720930232553</v>
      </c>
      <c r="AP85">
        <v>69</v>
      </c>
    </row>
    <row r="86" spans="1:42" x14ac:dyDescent="0.35">
      <c r="A86">
        <v>97619</v>
      </c>
      <c r="B86">
        <v>8619</v>
      </c>
      <c r="C86">
        <v>950648</v>
      </c>
      <c r="D86">
        <v>435</v>
      </c>
      <c r="E86" s="147">
        <v>44207</v>
      </c>
      <c r="F86" t="s">
        <v>489</v>
      </c>
      <c r="G86" t="s">
        <v>93</v>
      </c>
      <c r="H86" s="147">
        <v>44211</v>
      </c>
      <c r="I86">
        <v>7</v>
      </c>
      <c r="J86" t="s">
        <v>194</v>
      </c>
      <c r="L86">
        <v>0</v>
      </c>
      <c r="M86">
        <v>0</v>
      </c>
      <c r="U86">
        <v>429</v>
      </c>
      <c r="V86">
        <v>347</v>
      </c>
      <c r="W86">
        <v>0</v>
      </c>
      <c r="X86">
        <v>0</v>
      </c>
      <c r="Y86">
        <v>24</v>
      </c>
      <c r="Z86">
        <v>17</v>
      </c>
      <c r="AA86">
        <v>0</v>
      </c>
      <c r="AB86">
        <v>0</v>
      </c>
      <c r="AC86">
        <v>0</v>
      </c>
      <c r="AD86">
        <v>0</v>
      </c>
      <c r="AG86" t="s">
        <v>258</v>
      </c>
      <c r="AH86" t="s">
        <v>435</v>
      </c>
      <c r="AI86">
        <v>166</v>
      </c>
      <c r="AJ86">
        <v>36</v>
      </c>
      <c r="AK86">
        <v>64</v>
      </c>
      <c r="AL86">
        <v>1</v>
      </c>
      <c r="AM86">
        <v>0</v>
      </c>
      <c r="AN86" t="s">
        <v>49</v>
      </c>
      <c r="AO86">
        <v>0.80885780885780889</v>
      </c>
      <c r="AP86">
        <v>76</v>
      </c>
    </row>
    <row r="87" spans="1:42" x14ac:dyDescent="0.35">
      <c r="A87">
        <v>97625</v>
      </c>
      <c r="B87">
        <v>8619</v>
      </c>
      <c r="C87">
        <v>950654</v>
      </c>
      <c r="D87">
        <v>470</v>
      </c>
      <c r="E87" s="147">
        <v>44207</v>
      </c>
      <c r="F87" t="s">
        <v>494</v>
      </c>
      <c r="G87" t="s">
        <v>119</v>
      </c>
      <c r="H87" s="147">
        <v>44211</v>
      </c>
      <c r="I87">
        <v>7</v>
      </c>
      <c r="J87" t="s">
        <v>194</v>
      </c>
      <c r="L87">
        <v>0</v>
      </c>
      <c r="M87">
        <v>0</v>
      </c>
      <c r="U87">
        <v>469</v>
      </c>
      <c r="V87">
        <v>405</v>
      </c>
      <c r="W87">
        <v>0</v>
      </c>
      <c r="X87">
        <v>0</v>
      </c>
      <c r="Y87">
        <v>39</v>
      </c>
      <c r="Z87">
        <v>24</v>
      </c>
      <c r="AA87">
        <v>0</v>
      </c>
      <c r="AB87">
        <v>0</v>
      </c>
      <c r="AC87">
        <v>0</v>
      </c>
      <c r="AD87">
        <v>0</v>
      </c>
      <c r="AG87" t="s">
        <v>258</v>
      </c>
      <c r="AH87" t="s">
        <v>435</v>
      </c>
      <c r="AI87">
        <v>189</v>
      </c>
      <c r="AJ87">
        <v>52</v>
      </c>
      <c r="AK87">
        <v>58</v>
      </c>
      <c r="AL87">
        <v>1</v>
      </c>
      <c r="AM87">
        <v>0</v>
      </c>
      <c r="AN87" t="s">
        <v>49</v>
      </c>
      <c r="AO87">
        <v>0.86353944562899787</v>
      </c>
      <c r="AP87">
        <v>85</v>
      </c>
    </row>
    <row r="88" spans="1:42" x14ac:dyDescent="0.35">
      <c r="A88">
        <v>97646</v>
      </c>
      <c r="B88">
        <v>8619</v>
      </c>
      <c r="C88">
        <v>950675</v>
      </c>
      <c r="D88">
        <v>401</v>
      </c>
      <c r="E88" s="147">
        <v>44207</v>
      </c>
      <c r="F88" t="s">
        <v>505</v>
      </c>
      <c r="G88" t="s">
        <v>133</v>
      </c>
      <c r="H88" s="147">
        <v>44211</v>
      </c>
      <c r="I88">
        <v>7</v>
      </c>
      <c r="J88" t="s">
        <v>194</v>
      </c>
      <c r="L88">
        <v>0</v>
      </c>
      <c r="M88">
        <v>0</v>
      </c>
      <c r="U88">
        <v>691</v>
      </c>
      <c r="V88">
        <v>608</v>
      </c>
      <c r="W88">
        <v>0</v>
      </c>
      <c r="X88">
        <v>0</v>
      </c>
      <c r="Y88">
        <v>40</v>
      </c>
      <c r="Z88">
        <v>33</v>
      </c>
      <c r="AA88">
        <v>0</v>
      </c>
      <c r="AB88">
        <v>0</v>
      </c>
      <c r="AC88">
        <v>0</v>
      </c>
      <c r="AD88">
        <v>0</v>
      </c>
      <c r="AG88" t="s">
        <v>255</v>
      </c>
      <c r="AH88" t="s">
        <v>435</v>
      </c>
      <c r="AI88">
        <v>294</v>
      </c>
      <c r="AJ88">
        <v>171</v>
      </c>
      <c r="AK88">
        <v>80</v>
      </c>
      <c r="AL88">
        <v>6</v>
      </c>
      <c r="AM88">
        <v>0</v>
      </c>
      <c r="AN88" t="s">
        <v>49</v>
      </c>
      <c r="AO88">
        <v>0.87988422575976843</v>
      </c>
      <c r="AP88">
        <v>220</v>
      </c>
    </row>
    <row r="89" spans="1:42" x14ac:dyDescent="0.35">
      <c r="A89">
        <v>97648</v>
      </c>
      <c r="B89">
        <v>8619</v>
      </c>
      <c r="C89">
        <v>950677</v>
      </c>
      <c r="D89">
        <v>322</v>
      </c>
      <c r="E89" s="147">
        <v>44207</v>
      </c>
      <c r="F89" t="s">
        <v>498</v>
      </c>
      <c r="G89" t="s">
        <v>144</v>
      </c>
      <c r="H89" s="147">
        <v>44211</v>
      </c>
      <c r="I89">
        <v>7</v>
      </c>
      <c r="J89" t="s">
        <v>194</v>
      </c>
      <c r="L89">
        <v>0</v>
      </c>
      <c r="M89">
        <v>0</v>
      </c>
      <c r="U89">
        <v>733</v>
      </c>
      <c r="V89">
        <v>661</v>
      </c>
      <c r="W89">
        <v>0</v>
      </c>
      <c r="X89">
        <v>0</v>
      </c>
      <c r="Y89">
        <v>15</v>
      </c>
      <c r="Z89">
        <v>15</v>
      </c>
      <c r="AA89">
        <v>0</v>
      </c>
      <c r="AB89">
        <v>0</v>
      </c>
      <c r="AC89">
        <v>0</v>
      </c>
      <c r="AD89">
        <v>0</v>
      </c>
      <c r="AG89" t="s">
        <v>255</v>
      </c>
      <c r="AH89" t="s">
        <v>435</v>
      </c>
      <c r="AI89">
        <v>300</v>
      </c>
      <c r="AJ89">
        <v>86</v>
      </c>
      <c r="AK89">
        <v>89</v>
      </c>
      <c r="AL89">
        <v>4</v>
      </c>
      <c r="AM89">
        <v>0</v>
      </c>
      <c r="AN89" t="s">
        <v>49</v>
      </c>
      <c r="AO89">
        <v>0.90177353342428379</v>
      </c>
      <c r="AP89">
        <v>156</v>
      </c>
    </row>
    <row r="90" spans="1:42" x14ac:dyDescent="0.35">
      <c r="A90">
        <v>97664</v>
      </c>
      <c r="B90">
        <v>8619</v>
      </c>
      <c r="C90">
        <v>950693</v>
      </c>
      <c r="D90">
        <v>480</v>
      </c>
      <c r="E90" s="147">
        <v>44207</v>
      </c>
      <c r="F90" t="s">
        <v>507</v>
      </c>
      <c r="G90" t="s">
        <v>110</v>
      </c>
      <c r="H90" s="147">
        <v>44211</v>
      </c>
      <c r="I90">
        <v>7</v>
      </c>
      <c r="J90" t="s">
        <v>194</v>
      </c>
      <c r="L90">
        <v>0</v>
      </c>
      <c r="M90">
        <v>0</v>
      </c>
      <c r="U90">
        <v>676</v>
      </c>
      <c r="V90">
        <v>645</v>
      </c>
      <c r="W90">
        <v>0</v>
      </c>
      <c r="X90">
        <v>0</v>
      </c>
      <c r="Y90">
        <v>33</v>
      </c>
      <c r="Z90">
        <v>33</v>
      </c>
      <c r="AA90">
        <v>0</v>
      </c>
      <c r="AB90">
        <v>0</v>
      </c>
      <c r="AC90">
        <v>0</v>
      </c>
      <c r="AD90">
        <v>0</v>
      </c>
      <c r="AG90" t="s">
        <v>223</v>
      </c>
      <c r="AH90" t="s">
        <v>435</v>
      </c>
      <c r="AI90">
        <v>333</v>
      </c>
      <c r="AJ90">
        <v>95</v>
      </c>
      <c r="AK90">
        <v>90</v>
      </c>
      <c r="AL90">
        <v>3</v>
      </c>
      <c r="AM90">
        <v>0</v>
      </c>
      <c r="AN90" t="s">
        <v>49</v>
      </c>
      <c r="AO90">
        <v>0.95414201183431957</v>
      </c>
      <c r="AP90">
        <v>172</v>
      </c>
    </row>
    <row r="91" spans="1:42" x14ac:dyDescent="0.35">
      <c r="A91">
        <v>97683</v>
      </c>
      <c r="B91">
        <v>8619</v>
      </c>
      <c r="C91">
        <v>950712</v>
      </c>
      <c r="D91">
        <v>308</v>
      </c>
      <c r="E91" s="147">
        <v>44207</v>
      </c>
      <c r="F91" t="s">
        <v>496</v>
      </c>
      <c r="G91" t="s">
        <v>154</v>
      </c>
      <c r="H91" s="147">
        <v>44211</v>
      </c>
      <c r="I91">
        <v>7</v>
      </c>
      <c r="J91" t="s">
        <v>194</v>
      </c>
      <c r="L91">
        <v>0</v>
      </c>
      <c r="M91">
        <v>0</v>
      </c>
      <c r="U91">
        <v>333</v>
      </c>
      <c r="V91">
        <v>300</v>
      </c>
      <c r="W91">
        <v>0</v>
      </c>
      <c r="X91">
        <v>0</v>
      </c>
      <c r="Y91">
        <v>10</v>
      </c>
      <c r="Z91">
        <v>7</v>
      </c>
      <c r="AA91">
        <v>0</v>
      </c>
      <c r="AB91">
        <v>0</v>
      </c>
      <c r="AC91">
        <v>0</v>
      </c>
      <c r="AD91">
        <v>0</v>
      </c>
      <c r="AG91" t="s">
        <v>224</v>
      </c>
      <c r="AH91" t="s">
        <v>435</v>
      </c>
      <c r="AI91">
        <v>114</v>
      </c>
      <c r="AJ91">
        <v>17</v>
      </c>
      <c r="AK91">
        <v>51</v>
      </c>
      <c r="AL91">
        <v>1</v>
      </c>
      <c r="AM91">
        <v>0</v>
      </c>
      <c r="AN91" t="s">
        <v>49</v>
      </c>
      <c r="AO91">
        <v>0.90090090090090091</v>
      </c>
      <c r="AP91">
        <v>37</v>
      </c>
    </row>
    <row r="92" spans="1:42" x14ac:dyDescent="0.35">
      <c r="A92">
        <v>97721</v>
      </c>
      <c r="B92">
        <v>8619</v>
      </c>
      <c r="C92">
        <v>950750</v>
      </c>
      <c r="D92">
        <v>396</v>
      </c>
      <c r="E92" s="147">
        <v>44207</v>
      </c>
      <c r="F92" t="s">
        <v>501</v>
      </c>
      <c r="G92" t="s">
        <v>94</v>
      </c>
      <c r="H92" s="147">
        <v>44212</v>
      </c>
      <c r="I92">
        <v>7</v>
      </c>
      <c r="J92" t="s">
        <v>196</v>
      </c>
      <c r="L92">
        <v>0</v>
      </c>
      <c r="M92">
        <v>0</v>
      </c>
      <c r="U92">
        <v>292</v>
      </c>
      <c r="V92">
        <v>263</v>
      </c>
      <c r="W92">
        <v>0</v>
      </c>
      <c r="X92">
        <v>0</v>
      </c>
      <c r="Y92">
        <v>8</v>
      </c>
      <c r="Z92">
        <v>8</v>
      </c>
      <c r="AA92">
        <v>0</v>
      </c>
      <c r="AB92">
        <v>0</v>
      </c>
      <c r="AC92">
        <v>0</v>
      </c>
      <c r="AD92">
        <v>0</v>
      </c>
      <c r="AG92" t="s">
        <v>226</v>
      </c>
      <c r="AH92" t="s">
        <v>435</v>
      </c>
      <c r="AI92">
        <v>103</v>
      </c>
      <c r="AJ92">
        <v>33</v>
      </c>
      <c r="AK92">
        <v>55</v>
      </c>
      <c r="AL92">
        <v>4</v>
      </c>
      <c r="AM92">
        <v>0</v>
      </c>
      <c r="AN92" t="s">
        <v>49</v>
      </c>
      <c r="AO92">
        <v>0.90068493150684936</v>
      </c>
      <c r="AP92">
        <v>65</v>
      </c>
    </row>
    <row r="93" spans="1:42" x14ac:dyDescent="0.35">
      <c r="A93">
        <v>97728</v>
      </c>
      <c r="B93">
        <v>8619</v>
      </c>
      <c r="C93">
        <v>950757</v>
      </c>
      <c r="D93">
        <v>378</v>
      </c>
      <c r="E93" s="147">
        <v>44207</v>
      </c>
      <c r="F93" t="s">
        <v>497</v>
      </c>
      <c r="G93" t="s">
        <v>141</v>
      </c>
      <c r="H93" s="147">
        <v>44212</v>
      </c>
      <c r="I93">
        <v>7</v>
      </c>
      <c r="J93" t="s">
        <v>196</v>
      </c>
      <c r="L93">
        <v>0</v>
      </c>
      <c r="M93">
        <v>0</v>
      </c>
      <c r="U93">
        <v>373</v>
      </c>
      <c r="V93">
        <v>317</v>
      </c>
      <c r="W93">
        <v>0</v>
      </c>
      <c r="X93">
        <v>0</v>
      </c>
      <c r="Y93">
        <v>11</v>
      </c>
      <c r="Z93">
        <v>7</v>
      </c>
      <c r="AA93">
        <v>0</v>
      </c>
      <c r="AB93">
        <v>0</v>
      </c>
      <c r="AC93">
        <v>0</v>
      </c>
      <c r="AD93">
        <v>0</v>
      </c>
      <c r="AG93" t="s">
        <v>226</v>
      </c>
      <c r="AH93" t="s">
        <v>435</v>
      </c>
      <c r="AI93">
        <v>133</v>
      </c>
      <c r="AJ93">
        <v>36</v>
      </c>
      <c r="AK93">
        <v>54</v>
      </c>
      <c r="AL93">
        <v>4</v>
      </c>
      <c r="AM93">
        <v>0</v>
      </c>
      <c r="AN93" t="s">
        <v>49</v>
      </c>
      <c r="AO93">
        <v>0.84986595174262736</v>
      </c>
      <c r="AP93">
        <v>77</v>
      </c>
    </row>
    <row r="94" spans="1:42" x14ac:dyDescent="0.35">
      <c r="A94">
        <v>97740</v>
      </c>
      <c r="B94">
        <v>8619</v>
      </c>
      <c r="C94">
        <v>950769</v>
      </c>
      <c r="D94">
        <v>334</v>
      </c>
      <c r="E94" s="147">
        <v>44207</v>
      </c>
      <c r="F94" t="s">
        <v>488</v>
      </c>
      <c r="G94" t="s">
        <v>64</v>
      </c>
      <c r="H94" s="147">
        <v>44212</v>
      </c>
      <c r="I94">
        <v>7</v>
      </c>
      <c r="J94" t="s">
        <v>196</v>
      </c>
      <c r="L94">
        <v>0</v>
      </c>
      <c r="M94">
        <v>0</v>
      </c>
      <c r="U94">
        <v>342</v>
      </c>
      <c r="V94">
        <v>279</v>
      </c>
      <c r="W94">
        <v>0</v>
      </c>
      <c r="X94">
        <v>0</v>
      </c>
      <c r="Y94">
        <v>9</v>
      </c>
      <c r="Z94">
        <v>9</v>
      </c>
      <c r="AA94">
        <v>0</v>
      </c>
      <c r="AB94">
        <v>0</v>
      </c>
      <c r="AC94">
        <v>0</v>
      </c>
      <c r="AD94">
        <v>0</v>
      </c>
      <c r="AG94" t="s">
        <v>258</v>
      </c>
      <c r="AH94" t="s">
        <v>435</v>
      </c>
      <c r="AI94">
        <v>140</v>
      </c>
      <c r="AJ94">
        <v>40</v>
      </c>
      <c r="AK94">
        <v>36</v>
      </c>
      <c r="AL94">
        <v>1</v>
      </c>
      <c r="AM94">
        <v>0</v>
      </c>
      <c r="AN94" t="s">
        <v>49</v>
      </c>
      <c r="AO94">
        <v>0.81578947368421051</v>
      </c>
      <c r="AP94">
        <v>65</v>
      </c>
    </row>
    <row r="95" spans="1:42" x14ac:dyDescent="0.35">
      <c r="A95">
        <v>97751</v>
      </c>
      <c r="B95">
        <v>8619</v>
      </c>
      <c r="C95">
        <v>950780</v>
      </c>
      <c r="D95">
        <v>411</v>
      </c>
      <c r="E95" s="147">
        <v>44207</v>
      </c>
      <c r="F95" t="s">
        <v>504</v>
      </c>
      <c r="G95" t="s">
        <v>289</v>
      </c>
      <c r="H95" s="147">
        <v>44212</v>
      </c>
      <c r="I95">
        <v>7</v>
      </c>
      <c r="J95" t="s">
        <v>196</v>
      </c>
      <c r="L95">
        <v>0</v>
      </c>
      <c r="M95">
        <v>0</v>
      </c>
      <c r="U95">
        <v>571</v>
      </c>
      <c r="V95">
        <v>441</v>
      </c>
      <c r="W95">
        <v>0</v>
      </c>
      <c r="X95">
        <v>0</v>
      </c>
      <c r="Y95">
        <v>24</v>
      </c>
      <c r="Z95">
        <v>18</v>
      </c>
      <c r="AA95">
        <v>0</v>
      </c>
      <c r="AB95">
        <v>0</v>
      </c>
      <c r="AC95">
        <v>0</v>
      </c>
      <c r="AD95">
        <v>0</v>
      </c>
      <c r="AG95" t="s">
        <v>258</v>
      </c>
      <c r="AH95" t="s">
        <v>435</v>
      </c>
      <c r="AI95">
        <v>199</v>
      </c>
      <c r="AJ95">
        <v>53</v>
      </c>
      <c r="AK95">
        <v>76</v>
      </c>
      <c r="AL95">
        <v>9</v>
      </c>
      <c r="AM95">
        <v>0</v>
      </c>
      <c r="AN95" t="s">
        <v>49</v>
      </c>
      <c r="AO95">
        <v>0.77232924693520144</v>
      </c>
      <c r="AP95">
        <v>100</v>
      </c>
    </row>
    <row r="96" spans="1:42" x14ac:dyDescent="0.35">
      <c r="A96">
        <v>97773</v>
      </c>
      <c r="B96">
        <v>8619</v>
      </c>
      <c r="C96">
        <v>950802</v>
      </c>
      <c r="D96">
        <v>401</v>
      </c>
      <c r="E96" s="147">
        <v>44207</v>
      </c>
      <c r="F96" t="s">
        <v>505</v>
      </c>
      <c r="G96" t="s">
        <v>133</v>
      </c>
      <c r="H96" s="147">
        <v>44212</v>
      </c>
      <c r="I96">
        <v>7</v>
      </c>
      <c r="J96" t="s">
        <v>196</v>
      </c>
      <c r="L96">
        <v>0</v>
      </c>
      <c r="M96">
        <v>0</v>
      </c>
      <c r="U96">
        <v>687</v>
      </c>
      <c r="V96">
        <v>593</v>
      </c>
      <c r="W96">
        <v>0</v>
      </c>
      <c r="X96">
        <v>0</v>
      </c>
      <c r="Y96">
        <v>52</v>
      </c>
      <c r="Z96">
        <v>36</v>
      </c>
      <c r="AA96">
        <v>0</v>
      </c>
      <c r="AB96">
        <v>0</v>
      </c>
      <c r="AC96">
        <v>0</v>
      </c>
      <c r="AD96">
        <v>0</v>
      </c>
      <c r="AG96" t="s">
        <v>255</v>
      </c>
      <c r="AH96" t="s">
        <v>435</v>
      </c>
      <c r="AI96">
        <v>287</v>
      </c>
      <c r="AJ96">
        <v>161</v>
      </c>
      <c r="AK96">
        <v>72</v>
      </c>
      <c r="AL96">
        <v>12</v>
      </c>
      <c r="AM96">
        <v>0</v>
      </c>
      <c r="AN96" t="s">
        <v>49</v>
      </c>
      <c r="AO96">
        <v>0.86317321688500726</v>
      </c>
      <c r="AP96">
        <v>208</v>
      </c>
    </row>
    <row r="97" spans="1:42" x14ac:dyDescent="0.35">
      <c r="A97">
        <v>97785</v>
      </c>
      <c r="B97">
        <v>8619</v>
      </c>
      <c r="C97">
        <v>950814</v>
      </c>
      <c r="D97">
        <v>407</v>
      </c>
      <c r="E97" s="147">
        <v>44207</v>
      </c>
      <c r="F97" t="s">
        <v>499</v>
      </c>
      <c r="G97" t="s">
        <v>83</v>
      </c>
      <c r="H97" s="147">
        <v>44212</v>
      </c>
      <c r="I97">
        <v>7</v>
      </c>
      <c r="J97" t="s">
        <v>196</v>
      </c>
      <c r="L97">
        <v>0</v>
      </c>
      <c r="M97">
        <v>0</v>
      </c>
      <c r="U97">
        <v>498</v>
      </c>
      <c r="V97">
        <v>433</v>
      </c>
      <c r="W97">
        <v>0</v>
      </c>
      <c r="X97">
        <v>0</v>
      </c>
      <c r="Y97">
        <v>17</v>
      </c>
      <c r="Z97">
        <v>17</v>
      </c>
      <c r="AA97">
        <v>0</v>
      </c>
      <c r="AB97">
        <v>0</v>
      </c>
      <c r="AC97">
        <v>0</v>
      </c>
      <c r="AD97">
        <v>0</v>
      </c>
      <c r="AG97" t="s">
        <v>223</v>
      </c>
      <c r="AH97" t="s">
        <v>435</v>
      </c>
      <c r="AI97">
        <v>205</v>
      </c>
      <c r="AJ97">
        <v>63</v>
      </c>
      <c r="AK97">
        <v>81</v>
      </c>
      <c r="AL97">
        <v>5</v>
      </c>
      <c r="AM97">
        <v>0</v>
      </c>
      <c r="AN97" t="s">
        <v>49</v>
      </c>
      <c r="AO97">
        <v>0.86947791164658639</v>
      </c>
      <c r="AP97">
        <v>108</v>
      </c>
    </row>
    <row r="98" spans="1:42" x14ac:dyDescent="0.35">
      <c r="A98">
        <v>97791</v>
      </c>
      <c r="B98">
        <v>8619</v>
      </c>
      <c r="C98">
        <v>950820</v>
      </c>
      <c r="D98">
        <v>480</v>
      </c>
      <c r="E98" s="147">
        <v>44207</v>
      </c>
      <c r="F98" t="s">
        <v>507</v>
      </c>
      <c r="G98" t="s">
        <v>110</v>
      </c>
      <c r="H98" s="147">
        <v>44212</v>
      </c>
      <c r="I98">
        <v>7</v>
      </c>
      <c r="J98" t="s">
        <v>196</v>
      </c>
      <c r="L98">
        <v>0</v>
      </c>
      <c r="M98">
        <v>0</v>
      </c>
      <c r="U98">
        <v>667</v>
      </c>
      <c r="V98">
        <v>624</v>
      </c>
      <c r="W98">
        <v>0</v>
      </c>
      <c r="X98">
        <v>0</v>
      </c>
      <c r="Y98">
        <v>32</v>
      </c>
      <c r="Z98">
        <v>32</v>
      </c>
      <c r="AA98">
        <v>0</v>
      </c>
      <c r="AB98">
        <v>0</v>
      </c>
      <c r="AC98">
        <v>0</v>
      </c>
      <c r="AD98">
        <v>0</v>
      </c>
      <c r="AG98" t="s">
        <v>223</v>
      </c>
      <c r="AH98" t="s">
        <v>435</v>
      </c>
      <c r="AI98">
        <v>316</v>
      </c>
      <c r="AJ98">
        <v>86</v>
      </c>
      <c r="AK98">
        <v>98</v>
      </c>
      <c r="AL98">
        <v>4</v>
      </c>
      <c r="AM98">
        <v>0</v>
      </c>
      <c r="AN98" t="s">
        <v>49</v>
      </c>
      <c r="AO98">
        <v>0.93553223388305851</v>
      </c>
      <c r="AP98">
        <v>163</v>
      </c>
    </row>
    <row r="99" spans="1:42" x14ac:dyDescent="0.35">
      <c r="A99">
        <v>97810</v>
      </c>
      <c r="B99">
        <v>8619</v>
      </c>
      <c r="C99">
        <v>950839</v>
      </c>
      <c r="D99">
        <v>308</v>
      </c>
      <c r="E99" s="147">
        <v>44207</v>
      </c>
      <c r="F99" t="s">
        <v>496</v>
      </c>
      <c r="G99" t="s">
        <v>154</v>
      </c>
      <c r="H99" s="147">
        <v>44212</v>
      </c>
      <c r="I99">
        <v>7</v>
      </c>
      <c r="J99" t="s">
        <v>196</v>
      </c>
      <c r="L99">
        <v>0</v>
      </c>
      <c r="M99">
        <v>0</v>
      </c>
      <c r="U99">
        <v>342</v>
      </c>
      <c r="V99">
        <v>275</v>
      </c>
      <c r="W99">
        <v>0</v>
      </c>
      <c r="X99">
        <v>0</v>
      </c>
      <c r="Y99">
        <v>10</v>
      </c>
      <c r="Z99">
        <v>9</v>
      </c>
      <c r="AA99">
        <v>0</v>
      </c>
      <c r="AB99">
        <v>0</v>
      </c>
      <c r="AC99">
        <v>0</v>
      </c>
      <c r="AD99">
        <v>0</v>
      </c>
      <c r="AG99" t="s">
        <v>224</v>
      </c>
      <c r="AH99" t="s">
        <v>435</v>
      </c>
      <c r="AI99">
        <v>110</v>
      </c>
      <c r="AJ99">
        <v>18</v>
      </c>
      <c r="AK99">
        <v>74</v>
      </c>
      <c r="AL99">
        <v>1</v>
      </c>
      <c r="AM99">
        <v>0</v>
      </c>
      <c r="AN99" t="s">
        <v>49</v>
      </c>
      <c r="AO99">
        <v>0.80409356725146197</v>
      </c>
      <c r="AP99">
        <v>38</v>
      </c>
    </row>
    <row r="100" spans="1:42" x14ac:dyDescent="0.35">
      <c r="A100">
        <v>97832</v>
      </c>
      <c r="B100">
        <v>8619</v>
      </c>
      <c r="C100">
        <v>950861</v>
      </c>
      <c r="D100">
        <v>468</v>
      </c>
      <c r="E100" s="147">
        <v>44207</v>
      </c>
      <c r="F100" t="s">
        <v>508</v>
      </c>
      <c r="G100" t="s">
        <v>91</v>
      </c>
      <c r="H100" s="147">
        <v>44213</v>
      </c>
      <c r="I100">
        <v>7</v>
      </c>
      <c r="J100" t="s">
        <v>197</v>
      </c>
      <c r="L100">
        <v>0</v>
      </c>
      <c r="M100">
        <v>0</v>
      </c>
      <c r="U100">
        <v>572</v>
      </c>
      <c r="V100">
        <v>496</v>
      </c>
      <c r="W100">
        <v>0</v>
      </c>
      <c r="X100">
        <v>0</v>
      </c>
      <c r="Y100">
        <v>46</v>
      </c>
      <c r="Z100">
        <v>37</v>
      </c>
      <c r="AA100">
        <v>0</v>
      </c>
      <c r="AB100">
        <v>0</v>
      </c>
      <c r="AC100">
        <v>0</v>
      </c>
      <c r="AD100">
        <v>0</v>
      </c>
      <c r="AG100" t="s">
        <v>1</v>
      </c>
      <c r="AH100" t="s">
        <v>435</v>
      </c>
      <c r="AI100">
        <v>223</v>
      </c>
      <c r="AJ100">
        <v>62</v>
      </c>
      <c r="AK100">
        <v>92</v>
      </c>
      <c r="AL100">
        <v>2</v>
      </c>
      <c r="AM100">
        <v>0</v>
      </c>
      <c r="AN100" t="s">
        <v>49</v>
      </c>
      <c r="AO100">
        <v>0.86713286713286708</v>
      </c>
      <c r="AP100">
        <v>112</v>
      </c>
    </row>
    <row r="101" spans="1:42" x14ac:dyDescent="0.35">
      <c r="A101">
        <v>97848</v>
      </c>
      <c r="B101">
        <v>8619</v>
      </c>
      <c r="C101">
        <v>950877</v>
      </c>
      <c r="D101">
        <v>396</v>
      </c>
      <c r="E101" s="147">
        <v>44207</v>
      </c>
      <c r="F101" t="s">
        <v>501</v>
      </c>
      <c r="G101" t="s">
        <v>94</v>
      </c>
      <c r="H101" s="147">
        <v>44213</v>
      </c>
      <c r="I101">
        <v>7</v>
      </c>
      <c r="J101" t="s">
        <v>197</v>
      </c>
      <c r="L101">
        <v>0</v>
      </c>
      <c r="M101">
        <v>0</v>
      </c>
      <c r="U101">
        <v>287</v>
      </c>
      <c r="V101">
        <v>261</v>
      </c>
      <c r="W101">
        <v>0</v>
      </c>
      <c r="X101">
        <v>0</v>
      </c>
      <c r="Y101">
        <v>8</v>
      </c>
      <c r="Z101">
        <v>8</v>
      </c>
      <c r="AA101">
        <v>0</v>
      </c>
      <c r="AB101">
        <v>0</v>
      </c>
      <c r="AC101">
        <v>0</v>
      </c>
      <c r="AD101">
        <v>0</v>
      </c>
      <c r="AG101" t="s">
        <v>226</v>
      </c>
      <c r="AH101" t="s">
        <v>435</v>
      </c>
      <c r="AI101">
        <v>114</v>
      </c>
      <c r="AJ101">
        <v>34</v>
      </c>
      <c r="AK101">
        <v>56</v>
      </c>
      <c r="AL101">
        <v>14</v>
      </c>
      <c r="AM101">
        <v>0</v>
      </c>
      <c r="AN101" t="s">
        <v>49</v>
      </c>
      <c r="AO101">
        <v>0.90940766550522645</v>
      </c>
      <c r="AP101">
        <v>62</v>
      </c>
    </row>
    <row r="102" spans="1:42" x14ac:dyDescent="0.35">
      <c r="A102">
        <v>97855</v>
      </c>
      <c r="B102">
        <v>8619</v>
      </c>
      <c r="C102">
        <v>950884</v>
      </c>
      <c r="D102">
        <v>378</v>
      </c>
      <c r="E102" s="147">
        <v>44207</v>
      </c>
      <c r="F102" t="s">
        <v>497</v>
      </c>
      <c r="G102" t="s">
        <v>141</v>
      </c>
      <c r="H102" s="147">
        <v>44213</v>
      </c>
      <c r="I102">
        <v>7</v>
      </c>
      <c r="J102" t="s">
        <v>197</v>
      </c>
      <c r="L102">
        <v>0</v>
      </c>
      <c r="M102">
        <v>0</v>
      </c>
      <c r="U102">
        <v>393</v>
      </c>
      <c r="V102">
        <v>300</v>
      </c>
      <c r="W102">
        <v>0</v>
      </c>
      <c r="X102">
        <v>0</v>
      </c>
      <c r="Y102">
        <v>11</v>
      </c>
      <c r="Z102">
        <v>8</v>
      </c>
      <c r="AA102">
        <v>0</v>
      </c>
      <c r="AB102">
        <v>0</v>
      </c>
      <c r="AC102">
        <v>0</v>
      </c>
      <c r="AD102">
        <v>0</v>
      </c>
      <c r="AG102" t="s">
        <v>226</v>
      </c>
      <c r="AH102" t="s">
        <v>435</v>
      </c>
      <c r="AI102">
        <v>130</v>
      </c>
      <c r="AJ102">
        <v>34</v>
      </c>
      <c r="AK102">
        <v>60</v>
      </c>
      <c r="AL102">
        <v>2</v>
      </c>
      <c r="AM102">
        <v>0</v>
      </c>
      <c r="AN102" t="s">
        <v>49</v>
      </c>
      <c r="AO102">
        <v>0.76335877862595425</v>
      </c>
      <c r="AP102">
        <v>73</v>
      </c>
    </row>
    <row r="103" spans="1:42" x14ac:dyDescent="0.35">
      <c r="A103">
        <v>97893</v>
      </c>
      <c r="B103">
        <v>8619</v>
      </c>
      <c r="C103">
        <v>950922</v>
      </c>
      <c r="D103">
        <v>383</v>
      </c>
      <c r="E103" s="147">
        <v>44207</v>
      </c>
      <c r="F103" t="s">
        <v>500</v>
      </c>
      <c r="G103" t="s">
        <v>87</v>
      </c>
      <c r="H103" s="147">
        <v>44213</v>
      </c>
      <c r="I103">
        <v>7</v>
      </c>
      <c r="J103" t="s">
        <v>197</v>
      </c>
      <c r="L103">
        <v>0</v>
      </c>
      <c r="M103">
        <v>0</v>
      </c>
      <c r="U103">
        <v>283</v>
      </c>
      <c r="V103">
        <v>254</v>
      </c>
      <c r="W103">
        <v>0</v>
      </c>
      <c r="X103">
        <v>0</v>
      </c>
      <c r="Y103">
        <v>9</v>
      </c>
      <c r="Z103">
        <v>6</v>
      </c>
      <c r="AA103">
        <v>0</v>
      </c>
      <c r="AB103">
        <v>0</v>
      </c>
      <c r="AC103">
        <v>0</v>
      </c>
      <c r="AD103">
        <v>0</v>
      </c>
      <c r="AG103" t="s">
        <v>255</v>
      </c>
      <c r="AH103" t="s">
        <v>435</v>
      </c>
      <c r="AI103">
        <v>115</v>
      </c>
      <c r="AJ103">
        <v>50</v>
      </c>
      <c r="AK103">
        <v>39</v>
      </c>
      <c r="AL103">
        <v>2</v>
      </c>
      <c r="AM103">
        <v>0</v>
      </c>
      <c r="AN103" t="s">
        <v>49</v>
      </c>
      <c r="AO103">
        <v>0.8975265017667845</v>
      </c>
      <c r="AP103">
        <v>74</v>
      </c>
    </row>
    <row r="104" spans="1:42" x14ac:dyDescent="0.35">
      <c r="A104">
        <v>97900</v>
      </c>
      <c r="B104">
        <v>8619</v>
      </c>
      <c r="C104">
        <v>950929</v>
      </c>
      <c r="D104">
        <v>401</v>
      </c>
      <c r="E104" s="147">
        <v>44207</v>
      </c>
      <c r="F104" t="s">
        <v>505</v>
      </c>
      <c r="G104" t="s">
        <v>133</v>
      </c>
      <c r="H104" s="147">
        <v>44213</v>
      </c>
      <c r="I104">
        <v>7</v>
      </c>
      <c r="J104" t="s">
        <v>197</v>
      </c>
      <c r="L104">
        <v>0</v>
      </c>
      <c r="M104">
        <v>0</v>
      </c>
      <c r="U104">
        <v>701</v>
      </c>
      <c r="V104">
        <v>603</v>
      </c>
      <c r="W104">
        <v>0</v>
      </c>
      <c r="X104">
        <v>0</v>
      </c>
      <c r="Y104">
        <v>52</v>
      </c>
      <c r="Z104">
        <v>39</v>
      </c>
      <c r="AA104">
        <v>0</v>
      </c>
      <c r="AB104">
        <v>0</v>
      </c>
      <c r="AC104">
        <v>0</v>
      </c>
      <c r="AD104">
        <v>0</v>
      </c>
      <c r="AG104" t="s">
        <v>255</v>
      </c>
      <c r="AH104" t="s">
        <v>435</v>
      </c>
      <c r="AI104">
        <v>293</v>
      </c>
      <c r="AJ104">
        <v>164</v>
      </c>
      <c r="AK104">
        <v>98</v>
      </c>
      <c r="AL104">
        <v>9</v>
      </c>
      <c r="AM104">
        <v>0</v>
      </c>
      <c r="AN104" t="s">
        <v>49</v>
      </c>
      <c r="AO104">
        <v>0.86019971469329526</v>
      </c>
      <c r="AP104">
        <v>207</v>
      </c>
    </row>
    <row r="105" spans="1:42" x14ac:dyDescent="0.35">
      <c r="A105">
        <v>97918</v>
      </c>
      <c r="B105">
        <v>8619</v>
      </c>
      <c r="C105">
        <v>950947</v>
      </c>
      <c r="D105">
        <v>480</v>
      </c>
      <c r="E105" s="147">
        <v>44207</v>
      </c>
      <c r="F105" t="s">
        <v>507</v>
      </c>
      <c r="G105" t="s">
        <v>110</v>
      </c>
      <c r="H105" s="147">
        <v>44213</v>
      </c>
      <c r="I105">
        <v>7</v>
      </c>
      <c r="J105" t="s">
        <v>197</v>
      </c>
      <c r="L105">
        <v>0</v>
      </c>
      <c r="M105">
        <v>0</v>
      </c>
      <c r="U105">
        <v>656</v>
      </c>
      <c r="V105">
        <v>607</v>
      </c>
      <c r="W105">
        <v>0</v>
      </c>
      <c r="X105">
        <v>0</v>
      </c>
      <c r="Y105">
        <v>28</v>
      </c>
      <c r="Z105">
        <v>28</v>
      </c>
      <c r="AA105">
        <v>0</v>
      </c>
      <c r="AB105">
        <v>0</v>
      </c>
      <c r="AC105">
        <v>0</v>
      </c>
      <c r="AD105">
        <v>0</v>
      </c>
      <c r="AG105" t="s">
        <v>223</v>
      </c>
      <c r="AH105" t="s">
        <v>435</v>
      </c>
      <c r="AI105">
        <v>316</v>
      </c>
      <c r="AJ105">
        <v>91</v>
      </c>
      <c r="AK105">
        <v>98</v>
      </c>
      <c r="AL105">
        <v>8</v>
      </c>
      <c r="AM105">
        <v>0</v>
      </c>
      <c r="AN105" t="s">
        <v>49</v>
      </c>
      <c r="AO105">
        <v>0.92530487804878048</v>
      </c>
      <c r="AP105">
        <v>172</v>
      </c>
    </row>
    <row r="106" spans="1:42" x14ac:dyDescent="0.35">
      <c r="A106">
        <v>97139</v>
      </c>
      <c r="B106">
        <v>8619</v>
      </c>
      <c r="C106">
        <v>950168</v>
      </c>
      <c r="D106">
        <v>471</v>
      </c>
      <c r="E106" s="147">
        <v>44207</v>
      </c>
      <c r="F106" t="s">
        <v>509</v>
      </c>
      <c r="G106" t="s">
        <v>142</v>
      </c>
      <c r="H106" s="147">
        <v>44207</v>
      </c>
      <c r="I106">
        <v>7</v>
      </c>
      <c r="J106" t="s">
        <v>195</v>
      </c>
      <c r="L106">
        <v>0</v>
      </c>
      <c r="M106">
        <v>0</v>
      </c>
      <c r="U106">
        <v>336</v>
      </c>
      <c r="V106">
        <v>324</v>
      </c>
      <c r="W106">
        <v>0</v>
      </c>
      <c r="X106">
        <v>0</v>
      </c>
      <c r="Y106">
        <v>18</v>
      </c>
      <c r="Z106">
        <v>12</v>
      </c>
      <c r="AA106">
        <v>0</v>
      </c>
      <c r="AB106">
        <v>0</v>
      </c>
      <c r="AC106">
        <v>1</v>
      </c>
      <c r="AD106">
        <v>0</v>
      </c>
      <c r="AG106" t="s">
        <v>255</v>
      </c>
      <c r="AH106" t="s">
        <v>435</v>
      </c>
      <c r="AI106">
        <v>178</v>
      </c>
      <c r="AJ106">
        <v>56</v>
      </c>
      <c r="AK106">
        <v>38</v>
      </c>
      <c r="AL106">
        <v>1</v>
      </c>
      <c r="AM106">
        <v>0</v>
      </c>
      <c r="AN106" t="s">
        <v>49</v>
      </c>
      <c r="AO106">
        <v>0.9642857142857143</v>
      </c>
      <c r="AP106">
        <v>96</v>
      </c>
    </row>
    <row r="107" spans="1:42" x14ac:dyDescent="0.35">
      <c r="A107">
        <v>97146</v>
      </c>
      <c r="B107">
        <v>8619</v>
      </c>
      <c r="C107">
        <v>950175</v>
      </c>
      <c r="D107">
        <v>439</v>
      </c>
      <c r="E107" s="147">
        <v>44207</v>
      </c>
      <c r="F107" t="s">
        <v>510</v>
      </c>
      <c r="G107" t="s">
        <v>170</v>
      </c>
      <c r="H107" s="147">
        <v>44207</v>
      </c>
      <c r="I107">
        <v>7</v>
      </c>
      <c r="J107" t="s">
        <v>195</v>
      </c>
      <c r="L107">
        <v>0</v>
      </c>
      <c r="M107">
        <v>0</v>
      </c>
      <c r="U107">
        <v>349</v>
      </c>
      <c r="V107">
        <v>345</v>
      </c>
      <c r="W107">
        <v>0</v>
      </c>
      <c r="X107">
        <v>0</v>
      </c>
      <c r="Y107">
        <v>15</v>
      </c>
      <c r="Z107">
        <v>13</v>
      </c>
      <c r="AA107">
        <v>0</v>
      </c>
      <c r="AB107">
        <v>0</v>
      </c>
      <c r="AC107">
        <v>1</v>
      </c>
      <c r="AD107">
        <v>0</v>
      </c>
      <c r="AG107" t="s">
        <v>255</v>
      </c>
      <c r="AH107" t="s">
        <v>435</v>
      </c>
      <c r="AI107">
        <v>156</v>
      </c>
      <c r="AJ107">
        <v>38</v>
      </c>
      <c r="AK107">
        <v>66</v>
      </c>
      <c r="AL107">
        <v>6</v>
      </c>
      <c r="AM107">
        <v>0</v>
      </c>
      <c r="AN107" t="s">
        <v>49</v>
      </c>
      <c r="AO107">
        <v>0.98853868194842409</v>
      </c>
      <c r="AP107">
        <v>72</v>
      </c>
    </row>
    <row r="108" spans="1:42" x14ac:dyDescent="0.35">
      <c r="A108">
        <v>97266</v>
      </c>
      <c r="B108">
        <v>8619</v>
      </c>
      <c r="C108">
        <v>950295</v>
      </c>
      <c r="D108">
        <v>471</v>
      </c>
      <c r="E108" s="147">
        <v>44207</v>
      </c>
      <c r="F108" t="s">
        <v>509</v>
      </c>
      <c r="G108" t="s">
        <v>142</v>
      </c>
      <c r="H108" s="147">
        <v>44208</v>
      </c>
      <c r="I108">
        <v>7</v>
      </c>
      <c r="J108" t="s">
        <v>199</v>
      </c>
      <c r="L108">
        <v>0</v>
      </c>
      <c r="M108">
        <v>0</v>
      </c>
      <c r="U108">
        <v>344</v>
      </c>
      <c r="V108">
        <v>316</v>
      </c>
      <c r="W108">
        <v>0</v>
      </c>
      <c r="X108">
        <v>0</v>
      </c>
      <c r="Y108">
        <v>18</v>
      </c>
      <c r="Z108">
        <v>14</v>
      </c>
      <c r="AA108">
        <v>0</v>
      </c>
      <c r="AB108">
        <v>0</v>
      </c>
      <c r="AC108">
        <v>1</v>
      </c>
      <c r="AD108">
        <v>0</v>
      </c>
      <c r="AG108" t="s">
        <v>255</v>
      </c>
      <c r="AH108" t="s">
        <v>435</v>
      </c>
      <c r="AI108">
        <v>168</v>
      </c>
      <c r="AJ108">
        <v>54</v>
      </c>
      <c r="AK108">
        <v>39</v>
      </c>
      <c r="AL108">
        <v>1</v>
      </c>
      <c r="AM108">
        <v>0</v>
      </c>
      <c r="AN108" t="s">
        <v>49</v>
      </c>
      <c r="AO108">
        <v>0.91860465116279066</v>
      </c>
      <c r="AP108">
        <v>87</v>
      </c>
    </row>
    <row r="109" spans="1:42" x14ac:dyDescent="0.35">
      <c r="A109">
        <v>97393</v>
      </c>
      <c r="B109">
        <v>8619</v>
      </c>
      <c r="C109">
        <v>950422</v>
      </c>
      <c r="D109">
        <v>471</v>
      </c>
      <c r="E109" s="147">
        <v>44207</v>
      </c>
      <c r="F109" t="s">
        <v>509</v>
      </c>
      <c r="G109" t="s">
        <v>142</v>
      </c>
      <c r="H109" s="147">
        <v>44209</v>
      </c>
      <c r="I109">
        <v>7</v>
      </c>
      <c r="J109" t="s">
        <v>200</v>
      </c>
      <c r="L109">
        <v>0</v>
      </c>
      <c r="M109">
        <v>0</v>
      </c>
      <c r="U109">
        <v>346</v>
      </c>
      <c r="V109">
        <v>317</v>
      </c>
      <c r="W109">
        <v>0</v>
      </c>
      <c r="X109">
        <v>0</v>
      </c>
      <c r="Y109">
        <v>18</v>
      </c>
      <c r="Z109">
        <v>16</v>
      </c>
      <c r="AA109">
        <v>0</v>
      </c>
      <c r="AB109">
        <v>0</v>
      </c>
      <c r="AC109">
        <v>1</v>
      </c>
      <c r="AD109">
        <v>0</v>
      </c>
      <c r="AG109" t="s">
        <v>255</v>
      </c>
      <c r="AH109" t="s">
        <v>435</v>
      </c>
      <c r="AI109">
        <v>156</v>
      </c>
      <c r="AJ109">
        <v>53</v>
      </c>
      <c r="AK109">
        <v>48</v>
      </c>
      <c r="AL109">
        <v>3</v>
      </c>
      <c r="AM109">
        <v>0</v>
      </c>
      <c r="AN109" t="s">
        <v>49</v>
      </c>
      <c r="AO109">
        <v>0.91618497109826591</v>
      </c>
      <c r="AP109">
        <v>84</v>
      </c>
    </row>
    <row r="110" spans="1:42" x14ac:dyDescent="0.35">
      <c r="A110">
        <v>97400</v>
      </c>
      <c r="B110">
        <v>8619</v>
      </c>
      <c r="C110">
        <v>950429</v>
      </c>
      <c r="D110">
        <v>439</v>
      </c>
      <c r="E110" s="147">
        <v>44207</v>
      </c>
      <c r="F110" t="s">
        <v>510</v>
      </c>
      <c r="G110" t="s">
        <v>170</v>
      </c>
      <c r="H110" s="147">
        <v>44209</v>
      </c>
      <c r="I110">
        <v>7</v>
      </c>
      <c r="J110" t="s">
        <v>200</v>
      </c>
      <c r="L110">
        <v>0</v>
      </c>
      <c r="M110">
        <v>0</v>
      </c>
      <c r="U110">
        <v>346</v>
      </c>
      <c r="V110">
        <v>343</v>
      </c>
      <c r="W110">
        <v>0</v>
      </c>
      <c r="X110">
        <v>0</v>
      </c>
      <c r="Y110">
        <v>15</v>
      </c>
      <c r="Z110">
        <v>13</v>
      </c>
      <c r="AA110">
        <v>0</v>
      </c>
      <c r="AB110">
        <v>0</v>
      </c>
      <c r="AC110">
        <v>1</v>
      </c>
      <c r="AD110">
        <v>0</v>
      </c>
      <c r="AG110" t="s">
        <v>255</v>
      </c>
      <c r="AH110" t="s">
        <v>435</v>
      </c>
      <c r="AI110">
        <v>168</v>
      </c>
      <c r="AJ110">
        <v>40</v>
      </c>
      <c r="AK110">
        <v>71</v>
      </c>
      <c r="AL110">
        <v>15</v>
      </c>
      <c r="AM110">
        <v>0</v>
      </c>
      <c r="AN110" t="s">
        <v>49</v>
      </c>
      <c r="AO110">
        <v>0.99132947976878616</v>
      </c>
      <c r="AP110">
        <v>71</v>
      </c>
    </row>
    <row r="111" spans="1:42" x14ac:dyDescent="0.35">
      <c r="A111">
        <v>97520</v>
      </c>
      <c r="B111">
        <v>8619</v>
      </c>
      <c r="C111">
        <v>950549</v>
      </c>
      <c r="D111">
        <v>471</v>
      </c>
      <c r="E111" s="147">
        <v>44207</v>
      </c>
      <c r="F111" t="s">
        <v>509</v>
      </c>
      <c r="G111" t="s">
        <v>142</v>
      </c>
      <c r="H111" s="147">
        <v>44210</v>
      </c>
      <c r="I111">
        <v>7</v>
      </c>
      <c r="J111" t="s">
        <v>198</v>
      </c>
      <c r="L111">
        <v>0</v>
      </c>
      <c r="M111">
        <v>0</v>
      </c>
      <c r="U111">
        <v>335</v>
      </c>
      <c r="V111">
        <v>313</v>
      </c>
      <c r="W111">
        <v>0</v>
      </c>
      <c r="X111">
        <v>0</v>
      </c>
      <c r="Y111">
        <v>18</v>
      </c>
      <c r="Z111">
        <v>15</v>
      </c>
      <c r="AA111">
        <v>0</v>
      </c>
      <c r="AB111">
        <v>0</v>
      </c>
      <c r="AC111">
        <v>1</v>
      </c>
      <c r="AD111">
        <v>0</v>
      </c>
      <c r="AG111" t="s">
        <v>255</v>
      </c>
      <c r="AH111" t="s">
        <v>435</v>
      </c>
      <c r="AI111">
        <v>150</v>
      </c>
      <c r="AJ111">
        <v>51</v>
      </c>
      <c r="AK111">
        <v>41</v>
      </c>
      <c r="AL111">
        <v>3</v>
      </c>
      <c r="AM111">
        <v>0</v>
      </c>
      <c r="AN111" t="s">
        <v>49</v>
      </c>
      <c r="AO111">
        <v>0.93432835820895521</v>
      </c>
      <c r="AP111">
        <v>75</v>
      </c>
    </row>
    <row r="112" spans="1:42" x14ac:dyDescent="0.35">
      <c r="A112">
        <v>97527</v>
      </c>
      <c r="B112">
        <v>8619</v>
      </c>
      <c r="C112">
        <v>950556</v>
      </c>
      <c r="D112">
        <v>439</v>
      </c>
      <c r="E112" s="147">
        <v>44207</v>
      </c>
      <c r="F112" t="s">
        <v>510</v>
      </c>
      <c r="G112" t="s">
        <v>170</v>
      </c>
      <c r="H112" s="147">
        <v>44210</v>
      </c>
      <c r="I112">
        <v>7</v>
      </c>
      <c r="J112" t="s">
        <v>198</v>
      </c>
      <c r="L112">
        <v>0</v>
      </c>
      <c r="M112">
        <v>0</v>
      </c>
      <c r="U112">
        <v>343</v>
      </c>
      <c r="V112">
        <v>333</v>
      </c>
      <c r="W112">
        <v>0</v>
      </c>
      <c r="X112">
        <v>0</v>
      </c>
      <c r="Y112">
        <v>15</v>
      </c>
      <c r="Z112">
        <v>14</v>
      </c>
      <c r="AA112">
        <v>0</v>
      </c>
      <c r="AB112">
        <v>0</v>
      </c>
      <c r="AC112">
        <v>1</v>
      </c>
      <c r="AD112">
        <v>0</v>
      </c>
      <c r="AG112" t="s">
        <v>255</v>
      </c>
      <c r="AH112" t="s">
        <v>435</v>
      </c>
      <c r="AI112">
        <v>162</v>
      </c>
      <c r="AJ112">
        <v>43</v>
      </c>
      <c r="AK112">
        <v>57</v>
      </c>
      <c r="AL112">
        <v>3</v>
      </c>
      <c r="AM112">
        <v>0</v>
      </c>
      <c r="AN112" t="s">
        <v>49</v>
      </c>
      <c r="AO112">
        <v>0.9708454810495627</v>
      </c>
      <c r="AP112">
        <v>78</v>
      </c>
    </row>
    <row r="113" spans="1:42" x14ac:dyDescent="0.35">
      <c r="A113">
        <v>97565</v>
      </c>
      <c r="B113">
        <v>8619</v>
      </c>
      <c r="C113">
        <v>950594</v>
      </c>
      <c r="D113">
        <v>361</v>
      </c>
      <c r="E113" s="147">
        <v>44207</v>
      </c>
      <c r="F113" t="s">
        <v>511</v>
      </c>
      <c r="G113" t="s">
        <v>103</v>
      </c>
      <c r="H113" s="147">
        <v>44211</v>
      </c>
      <c r="I113">
        <v>7</v>
      </c>
      <c r="J113" t="s">
        <v>194</v>
      </c>
      <c r="L113">
        <v>0</v>
      </c>
      <c r="M113">
        <v>0</v>
      </c>
      <c r="U113">
        <v>450</v>
      </c>
      <c r="V113">
        <v>398</v>
      </c>
      <c r="W113">
        <v>0</v>
      </c>
      <c r="X113">
        <v>0</v>
      </c>
      <c r="Y113">
        <v>16</v>
      </c>
      <c r="Z113">
        <v>14</v>
      </c>
      <c r="AA113">
        <v>0</v>
      </c>
      <c r="AB113">
        <v>0</v>
      </c>
      <c r="AC113">
        <v>1</v>
      </c>
      <c r="AD113">
        <v>0</v>
      </c>
      <c r="AG113" t="s">
        <v>291</v>
      </c>
      <c r="AH113" t="s">
        <v>435</v>
      </c>
      <c r="AI113">
        <v>211</v>
      </c>
      <c r="AJ113">
        <v>82</v>
      </c>
      <c r="AK113">
        <v>66</v>
      </c>
      <c r="AL113">
        <v>7</v>
      </c>
      <c r="AM113">
        <v>0</v>
      </c>
      <c r="AN113" t="s">
        <v>49</v>
      </c>
      <c r="AO113">
        <v>0.88444444444444448</v>
      </c>
      <c r="AP113">
        <v>130</v>
      </c>
    </row>
    <row r="114" spans="1:42" x14ac:dyDescent="0.35">
      <c r="A114">
        <v>97647</v>
      </c>
      <c r="B114">
        <v>8619</v>
      </c>
      <c r="C114">
        <v>950676</v>
      </c>
      <c r="D114">
        <v>471</v>
      </c>
      <c r="E114" s="147">
        <v>44207</v>
      </c>
      <c r="F114" t="s">
        <v>509</v>
      </c>
      <c r="G114" t="s">
        <v>142</v>
      </c>
      <c r="H114" s="147">
        <v>44211</v>
      </c>
      <c r="I114">
        <v>7</v>
      </c>
      <c r="J114" t="s">
        <v>194</v>
      </c>
      <c r="L114">
        <v>0</v>
      </c>
      <c r="M114">
        <v>0</v>
      </c>
      <c r="U114">
        <v>342</v>
      </c>
      <c r="V114">
        <v>322</v>
      </c>
      <c r="W114">
        <v>0</v>
      </c>
      <c r="X114">
        <v>0</v>
      </c>
      <c r="Y114">
        <v>18</v>
      </c>
      <c r="Z114">
        <v>15</v>
      </c>
      <c r="AA114">
        <v>0</v>
      </c>
      <c r="AB114">
        <v>0</v>
      </c>
      <c r="AC114">
        <v>1</v>
      </c>
      <c r="AD114">
        <v>0</v>
      </c>
      <c r="AG114" t="s">
        <v>255</v>
      </c>
      <c r="AH114" t="s">
        <v>435</v>
      </c>
      <c r="AI114">
        <v>157</v>
      </c>
      <c r="AJ114">
        <v>55</v>
      </c>
      <c r="AK114">
        <v>32</v>
      </c>
      <c r="AL114">
        <v>0</v>
      </c>
      <c r="AM114">
        <v>0</v>
      </c>
      <c r="AN114" t="s">
        <v>49</v>
      </c>
      <c r="AO114">
        <v>0.94152046783625731</v>
      </c>
      <c r="AP114">
        <v>80</v>
      </c>
    </row>
    <row r="115" spans="1:42" x14ac:dyDescent="0.35">
      <c r="A115">
        <v>97774</v>
      </c>
      <c r="B115">
        <v>8619</v>
      </c>
      <c r="C115">
        <v>950803</v>
      </c>
      <c r="D115">
        <v>471</v>
      </c>
      <c r="E115" s="147">
        <v>44207</v>
      </c>
      <c r="F115" t="s">
        <v>509</v>
      </c>
      <c r="G115" t="s">
        <v>142</v>
      </c>
      <c r="H115" s="147">
        <v>44212</v>
      </c>
      <c r="I115">
        <v>7</v>
      </c>
      <c r="J115" t="s">
        <v>196</v>
      </c>
      <c r="L115">
        <v>0</v>
      </c>
      <c r="M115">
        <v>0</v>
      </c>
      <c r="U115">
        <v>339</v>
      </c>
      <c r="V115">
        <v>314</v>
      </c>
      <c r="W115">
        <v>0</v>
      </c>
      <c r="X115">
        <v>0</v>
      </c>
      <c r="Y115">
        <v>18</v>
      </c>
      <c r="Z115">
        <v>15</v>
      </c>
      <c r="AA115">
        <v>0</v>
      </c>
      <c r="AB115">
        <v>0</v>
      </c>
      <c r="AC115">
        <v>1</v>
      </c>
      <c r="AD115">
        <v>0</v>
      </c>
      <c r="AG115" t="s">
        <v>255</v>
      </c>
      <c r="AH115" t="s">
        <v>435</v>
      </c>
      <c r="AI115">
        <v>153</v>
      </c>
      <c r="AJ115">
        <v>56</v>
      </c>
      <c r="AK115">
        <v>58</v>
      </c>
      <c r="AL115">
        <v>0</v>
      </c>
      <c r="AM115">
        <v>0</v>
      </c>
      <c r="AN115" t="s">
        <v>49</v>
      </c>
      <c r="AO115">
        <v>0.92625368731563418</v>
      </c>
      <c r="AP115">
        <v>79</v>
      </c>
    </row>
    <row r="116" spans="1:42" x14ac:dyDescent="0.35">
      <c r="A116">
        <v>97901</v>
      </c>
      <c r="B116">
        <v>8619</v>
      </c>
      <c r="C116">
        <v>950930</v>
      </c>
      <c r="D116">
        <v>471</v>
      </c>
      <c r="E116" s="147">
        <v>44207</v>
      </c>
      <c r="F116" t="s">
        <v>509</v>
      </c>
      <c r="G116" t="s">
        <v>142</v>
      </c>
      <c r="H116" s="147">
        <v>44213</v>
      </c>
      <c r="I116">
        <v>7</v>
      </c>
      <c r="J116" t="s">
        <v>197</v>
      </c>
      <c r="L116">
        <v>0</v>
      </c>
      <c r="M116">
        <v>0</v>
      </c>
      <c r="U116">
        <v>330</v>
      </c>
      <c r="V116">
        <v>317</v>
      </c>
      <c r="W116">
        <v>0</v>
      </c>
      <c r="X116">
        <v>0</v>
      </c>
      <c r="Y116">
        <v>18</v>
      </c>
      <c r="Z116">
        <v>17</v>
      </c>
      <c r="AA116">
        <v>0</v>
      </c>
      <c r="AB116">
        <v>0</v>
      </c>
      <c r="AC116">
        <v>1</v>
      </c>
      <c r="AD116">
        <v>0</v>
      </c>
      <c r="AG116" t="s">
        <v>255</v>
      </c>
      <c r="AH116" t="s">
        <v>435</v>
      </c>
      <c r="AI116">
        <v>154</v>
      </c>
      <c r="AJ116">
        <v>56</v>
      </c>
      <c r="AK116">
        <v>45</v>
      </c>
      <c r="AL116">
        <v>3</v>
      </c>
      <c r="AM116">
        <v>0</v>
      </c>
      <c r="AN116" t="s">
        <v>49</v>
      </c>
      <c r="AO116">
        <v>0.96060606060606057</v>
      </c>
      <c r="AP116">
        <v>81</v>
      </c>
    </row>
    <row r="117" spans="1:42" x14ac:dyDescent="0.35">
      <c r="A117">
        <v>97905</v>
      </c>
      <c r="B117">
        <v>8619</v>
      </c>
      <c r="C117">
        <v>950934</v>
      </c>
      <c r="D117">
        <v>460</v>
      </c>
      <c r="E117" s="147">
        <v>44207</v>
      </c>
      <c r="F117" t="s">
        <v>512</v>
      </c>
      <c r="G117" t="s">
        <v>161</v>
      </c>
      <c r="H117" s="147">
        <v>44213</v>
      </c>
      <c r="I117">
        <v>7</v>
      </c>
      <c r="J117" t="s">
        <v>197</v>
      </c>
      <c r="L117">
        <v>0</v>
      </c>
      <c r="M117">
        <v>0</v>
      </c>
      <c r="U117">
        <v>667</v>
      </c>
      <c r="V117">
        <v>496</v>
      </c>
      <c r="W117">
        <v>0</v>
      </c>
      <c r="X117">
        <v>0</v>
      </c>
      <c r="Y117">
        <v>29</v>
      </c>
      <c r="Z117">
        <v>23</v>
      </c>
      <c r="AA117">
        <v>0</v>
      </c>
      <c r="AB117">
        <v>0</v>
      </c>
      <c r="AC117">
        <v>1</v>
      </c>
      <c r="AD117">
        <v>0</v>
      </c>
      <c r="AG117" t="s">
        <v>255</v>
      </c>
      <c r="AH117" t="s">
        <v>435</v>
      </c>
      <c r="AI117">
        <v>282</v>
      </c>
      <c r="AJ117">
        <v>104</v>
      </c>
      <c r="AK117">
        <v>75</v>
      </c>
      <c r="AL117">
        <v>6</v>
      </c>
      <c r="AM117">
        <v>0</v>
      </c>
      <c r="AN117" t="s">
        <v>49</v>
      </c>
      <c r="AO117">
        <v>0.74362818590704649</v>
      </c>
      <c r="AP117">
        <v>169</v>
      </c>
    </row>
    <row r="118" spans="1:42" x14ac:dyDescent="0.35">
      <c r="A118">
        <v>97083</v>
      </c>
      <c r="B118">
        <v>8619</v>
      </c>
      <c r="C118">
        <v>950112</v>
      </c>
      <c r="D118">
        <v>390</v>
      </c>
      <c r="E118" s="147">
        <v>44207</v>
      </c>
      <c r="F118" t="s">
        <v>513</v>
      </c>
      <c r="G118" t="s">
        <v>167</v>
      </c>
      <c r="H118" s="147">
        <v>44207</v>
      </c>
      <c r="I118">
        <v>7</v>
      </c>
      <c r="J118" t="s">
        <v>195</v>
      </c>
      <c r="L118">
        <v>0</v>
      </c>
      <c r="M118">
        <v>0</v>
      </c>
      <c r="U118">
        <v>243</v>
      </c>
      <c r="V118">
        <v>238</v>
      </c>
      <c r="W118">
        <v>0</v>
      </c>
      <c r="X118">
        <v>0</v>
      </c>
      <c r="Y118">
        <v>12</v>
      </c>
      <c r="Z118">
        <v>12</v>
      </c>
      <c r="AA118">
        <v>0</v>
      </c>
      <c r="AB118">
        <v>0</v>
      </c>
      <c r="AC118">
        <v>6</v>
      </c>
      <c r="AD118">
        <v>0</v>
      </c>
      <c r="AG118" t="s">
        <v>1</v>
      </c>
      <c r="AH118" t="s">
        <v>435</v>
      </c>
      <c r="AI118">
        <v>81</v>
      </c>
      <c r="AJ118">
        <v>22</v>
      </c>
      <c r="AK118">
        <v>51</v>
      </c>
      <c r="AL118">
        <v>0</v>
      </c>
      <c r="AM118">
        <v>0</v>
      </c>
      <c r="AN118" t="s">
        <v>49</v>
      </c>
      <c r="AO118">
        <v>0.97942386831275718</v>
      </c>
      <c r="AP118">
        <v>32</v>
      </c>
    </row>
    <row r="119" spans="1:42" x14ac:dyDescent="0.35">
      <c r="A119">
        <v>97110</v>
      </c>
      <c r="B119">
        <v>8619</v>
      </c>
      <c r="C119">
        <v>950139</v>
      </c>
      <c r="D119">
        <v>418</v>
      </c>
      <c r="E119" s="147">
        <v>44207</v>
      </c>
      <c r="F119" t="s">
        <v>514</v>
      </c>
      <c r="G119" t="s">
        <v>84</v>
      </c>
      <c r="H119" s="147">
        <v>44207</v>
      </c>
      <c r="I119">
        <v>7</v>
      </c>
      <c r="J119" t="s">
        <v>195</v>
      </c>
      <c r="L119">
        <v>0</v>
      </c>
      <c r="M119">
        <v>0</v>
      </c>
      <c r="U119">
        <v>666</v>
      </c>
      <c r="V119">
        <v>606</v>
      </c>
      <c r="W119">
        <v>0</v>
      </c>
      <c r="X119">
        <v>0</v>
      </c>
      <c r="Y119">
        <v>23</v>
      </c>
      <c r="Z119">
        <v>23</v>
      </c>
      <c r="AA119">
        <v>0</v>
      </c>
      <c r="AB119">
        <v>0</v>
      </c>
      <c r="AC119">
        <v>3</v>
      </c>
      <c r="AD119">
        <v>0</v>
      </c>
      <c r="AG119" t="s">
        <v>258</v>
      </c>
      <c r="AH119" t="s">
        <v>435</v>
      </c>
      <c r="AI119">
        <v>233</v>
      </c>
      <c r="AJ119">
        <v>61</v>
      </c>
      <c r="AK119">
        <v>109</v>
      </c>
      <c r="AL119">
        <v>4</v>
      </c>
      <c r="AM119">
        <v>0</v>
      </c>
      <c r="AN119" t="s">
        <v>49</v>
      </c>
      <c r="AO119">
        <v>0.90990990990990994</v>
      </c>
      <c r="AP119">
        <v>114</v>
      </c>
    </row>
    <row r="120" spans="1:42" x14ac:dyDescent="0.35">
      <c r="A120">
        <v>97229</v>
      </c>
      <c r="B120">
        <v>8619</v>
      </c>
      <c r="C120">
        <v>950258</v>
      </c>
      <c r="D120">
        <v>320</v>
      </c>
      <c r="E120" s="147">
        <v>44207</v>
      </c>
      <c r="F120" t="s">
        <v>515</v>
      </c>
      <c r="G120" t="s">
        <v>163</v>
      </c>
      <c r="H120" s="147">
        <v>44208</v>
      </c>
      <c r="I120">
        <v>7</v>
      </c>
      <c r="J120" t="s">
        <v>199</v>
      </c>
      <c r="L120">
        <v>0</v>
      </c>
      <c r="M120">
        <v>0</v>
      </c>
      <c r="U120">
        <v>655</v>
      </c>
      <c r="V120">
        <v>550</v>
      </c>
      <c r="W120">
        <v>0</v>
      </c>
      <c r="X120">
        <v>0</v>
      </c>
      <c r="Y120">
        <v>28</v>
      </c>
      <c r="Z120">
        <v>26</v>
      </c>
      <c r="AA120">
        <v>0</v>
      </c>
      <c r="AB120">
        <v>0</v>
      </c>
      <c r="AC120">
        <v>2</v>
      </c>
      <c r="AD120">
        <v>0</v>
      </c>
      <c r="AG120" t="s">
        <v>226</v>
      </c>
      <c r="AH120" t="s">
        <v>435</v>
      </c>
      <c r="AI120">
        <v>56</v>
      </c>
      <c r="AJ120">
        <v>24</v>
      </c>
      <c r="AK120">
        <v>118</v>
      </c>
      <c r="AL120">
        <v>12</v>
      </c>
      <c r="AM120">
        <v>0</v>
      </c>
      <c r="AN120" t="s">
        <v>49</v>
      </c>
      <c r="AO120">
        <v>0.83969465648854957</v>
      </c>
      <c r="AP120">
        <v>33</v>
      </c>
    </row>
    <row r="121" spans="1:42" x14ac:dyDescent="0.35">
      <c r="A121">
        <v>97287</v>
      </c>
      <c r="B121">
        <v>8619</v>
      </c>
      <c r="C121">
        <v>950316</v>
      </c>
      <c r="D121">
        <v>371</v>
      </c>
      <c r="E121" s="147">
        <v>44207</v>
      </c>
      <c r="F121" t="s">
        <v>516</v>
      </c>
      <c r="G121" t="s">
        <v>128</v>
      </c>
      <c r="H121" s="147">
        <v>44208</v>
      </c>
      <c r="I121">
        <v>7</v>
      </c>
      <c r="J121" t="s">
        <v>199</v>
      </c>
      <c r="L121">
        <v>0</v>
      </c>
      <c r="M121">
        <v>0</v>
      </c>
      <c r="U121">
        <v>494</v>
      </c>
      <c r="V121">
        <v>441</v>
      </c>
      <c r="W121">
        <v>0</v>
      </c>
      <c r="X121">
        <v>0</v>
      </c>
      <c r="Y121">
        <v>30</v>
      </c>
      <c r="Z121">
        <v>28</v>
      </c>
      <c r="AA121">
        <v>0</v>
      </c>
      <c r="AB121">
        <v>0</v>
      </c>
      <c r="AC121">
        <v>2</v>
      </c>
      <c r="AD121">
        <v>0</v>
      </c>
      <c r="AG121" t="s">
        <v>223</v>
      </c>
      <c r="AH121" t="s">
        <v>435</v>
      </c>
      <c r="AI121">
        <v>227</v>
      </c>
      <c r="AJ121">
        <v>49</v>
      </c>
      <c r="AK121">
        <v>0</v>
      </c>
      <c r="AL121">
        <v>0</v>
      </c>
      <c r="AM121">
        <v>0</v>
      </c>
      <c r="AN121" t="s">
        <v>49</v>
      </c>
      <c r="AO121">
        <v>0.89271255060728749</v>
      </c>
      <c r="AP121">
        <v>100</v>
      </c>
    </row>
    <row r="122" spans="1:42" x14ac:dyDescent="0.35">
      <c r="A122">
        <v>97339</v>
      </c>
      <c r="B122">
        <v>8619</v>
      </c>
      <c r="C122">
        <v>950368</v>
      </c>
      <c r="D122">
        <v>356</v>
      </c>
      <c r="E122" s="147">
        <v>44207</v>
      </c>
      <c r="F122" t="s">
        <v>517</v>
      </c>
      <c r="G122" t="s">
        <v>79</v>
      </c>
      <c r="H122" s="147">
        <v>44209</v>
      </c>
      <c r="I122">
        <v>7</v>
      </c>
      <c r="J122" t="s">
        <v>200</v>
      </c>
      <c r="L122">
        <v>0</v>
      </c>
      <c r="M122">
        <v>0</v>
      </c>
      <c r="U122">
        <v>519</v>
      </c>
      <c r="V122">
        <v>483</v>
      </c>
      <c r="W122">
        <v>0</v>
      </c>
      <c r="X122">
        <v>0</v>
      </c>
      <c r="Y122">
        <v>24</v>
      </c>
      <c r="Z122">
        <v>24</v>
      </c>
      <c r="AA122">
        <v>0</v>
      </c>
      <c r="AB122">
        <v>0</v>
      </c>
      <c r="AC122">
        <v>3</v>
      </c>
      <c r="AD122">
        <v>0</v>
      </c>
      <c r="AG122" t="s">
        <v>226</v>
      </c>
      <c r="AH122" t="s">
        <v>435</v>
      </c>
      <c r="AI122">
        <v>157</v>
      </c>
      <c r="AJ122">
        <v>34</v>
      </c>
      <c r="AK122">
        <v>66</v>
      </c>
      <c r="AL122">
        <v>0</v>
      </c>
      <c r="AM122">
        <v>0</v>
      </c>
      <c r="AN122" t="s">
        <v>49</v>
      </c>
      <c r="AO122">
        <v>0.93063583815028905</v>
      </c>
      <c r="AP122">
        <v>74</v>
      </c>
    </row>
    <row r="123" spans="1:42" x14ac:dyDescent="0.35">
      <c r="A123">
        <v>97341</v>
      </c>
      <c r="B123">
        <v>8619</v>
      </c>
      <c r="C123">
        <v>950370</v>
      </c>
      <c r="D123">
        <v>412</v>
      </c>
      <c r="E123" s="147">
        <v>44207</v>
      </c>
      <c r="F123" t="s">
        <v>518</v>
      </c>
      <c r="G123" t="s">
        <v>104</v>
      </c>
      <c r="H123" s="147">
        <v>44209</v>
      </c>
      <c r="I123">
        <v>7</v>
      </c>
      <c r="J123" t="s">
        <v>200</v>
      </c>
      <c r="L123">
        <v>0</v>
      </c>
      <c r="M123">
        <v>0</v>
      </c>
      <c r="U123">
        <v>507</v>
      </c>
      <c r="V123">
        <v>466</v>
      </c>
      <c r="W123">
        <v>0</v>
      </c>
      <c r="X123">
        <v>0</v>
      </c>
      <c r="Y123">
        <v>29</v>
      </c>
      <c r="Z123">
        <v>14</v>
      </c>
      <c r="AA123">
        <v>0</v>
      </c>
      <c r="AB123">
        <v>0</v>
      </c>
      <c r="AC123">
        <v>4</v>
      </c>
      <c r="AD123">
        <v>0</v>
      </c>
      <c r="AG123" t="s">
        <v>226</v>
      </c>
      <c r="AH123" t="s">
        <v>435</v>
      </c>
      <c r="AI123">
        <v>228</v>
      </c>
      <c r="AJ123">
        <v>90</v>
      </c>
      <c r="AK123">
        <v>82</v>
      </c>
      <c r="AL123">
        <v>10</v>
      </c>
      <c r="AM123">
        <v>0</v>
      </c>
      <c r="AN123" t="s">
        <v>49</v>
      </c>
      <c r="AO123">
        <v>0.9191321499013807</v>
      </c>
      <c r="AP123">
        <v>134</v>
      </c>
    </row>
    <row r="124" spans="1:42" x14ac:dyDescent="0.35">
      <c r="A124">
        <v>97398</v>
      </c>
      <c r="B124">
        <v>8619</v>
      </c>
      <c r="C124">
        <v>950427</v>
      </c>
      <c r="D124">
        <v>489</v>
      </c>
      <c r="E124" s="147">
        <v>44207</v>
      </c>
      <c r="F124" t="s">
        <v>519</v>
      </c>
      <c r="G124" t="s">
        <v>434</v>
      </c>
      <c r="H124" s="147">
        <v>44209</v>
      </c>
      <c r="I124">
        <v>7</v>
      </c>
      <c r="J124" t="s">
        <v>200</v>
      </c>
      <c r="L124">
        <v>0</v>
      </c>
      <c r="M124">
        <v>0</v>
      </c>
      <c r="U124">
        <v>526</v>
      </c>
      <c r="V124">
        <v>493</v>
      </c>
      <c r="W124">
        <v>0</v>
      </c>
      <c r="X124">
        <v>0</v>
      </c>
      <c r="Y124">
        <v>18</v>
      </c>
      <c r="Z124">
        <v>18</v>
      </c>
      <c r="AA124">
        <v>0</v>
      </c>
      <c r="AB124">
        <v>0</v>
      </c>
      <c r="AC124">
        <v>3</v>
      </c>
      <c r="AD124">
        <v>0</v>
      </c>
      <c r="AG124" t="s">
        <v>255</v>
      </c>
      <c r="AH124" t="s">
        <v>435</v>
      </c>
      <c r="AI124">
        <v>275</v>
      </c>
      <c r="AJ124">
        <v>104</v>
      </c>
      <c r="AK124">
        <v>57</v>
      </c>
      <c r="AL124">
        <v>5</v>
      </c>
      <c r="AM124">
        <v>0</v>
      </c>
      <c r="AN124" t="s">
        <v>49</v>
      </c>
      <c r="AO124">
        <v>0.93726235741444863</v>
      </c>
      <c r="AP124">
        <v>164</v>
      </c>
    </row>
    <row r="125" spans="1:42" x14ac:dyDescent="0.35">
      <c r="A125">
        <v>97468</v>
      </c>
      <c r="B125">
        <v>8619</v>
      </c>
      <c r="C125">
        <v>950497</v>
      </c>
      <c r="D125">
        <v>412</v>
      </c>
      <c r="E125" s="147">
        <v>44207</v>
      </c>
      <c r="F125" t="s">
        <v>518</v>
      </c>
      <c r="G125" t="s">
        <v>104</v>
      </c>
      <c r="H125" s="147">
        <v>44210</v>
      </c>
      <c r="I125">
        <v>7</v>
      </c>
      <c r="J125" t="s">
        <v>198</v>
      </c>
      <c r="L125">
        <v>0</v>
      </c>
      <c r="M125">
        <v>0</v>
      </c>
      <c r="U125">
        <v>507</v>
      </c>
      <c r="V125">
        <v>456</v>
      </c>
      <c r="W125">
        <v>0</v>
      </c>
      <c r="X125">
        <v>0</v>
      </c>
      <c r="Y125">
        <v>29</v>
      </c>
      <c r="Z125">
        <v>12</v>
      </c>
      <c r="AA125">
        <v>0</v>
      </c>
      <c r="AB125">
        <v>0</v>
      </c>
      <c r="AC125">
        <v>4</v>
      </c>
      <c r="AD125">
        <v>0</v>
      </c>
      <c r="AG125" t="s">
        <v>226</v>
      </c>
      <c r="AH125" t="s">
        <v>435</v>
      </c>
      <c r="AI125">
        <v>229</v>
      </c>
      <c r="AJ125">
        <v>88</v>
      </c>
      <c r="AK125">
        <v>85</v>
      </c>
      <c r="AL125">
        <v>18</v>
      </c>
      <c r="AM125">
        <v>0</v>
      </c>
      <c r="AN125" t="s">
        <v>49</v>
      </c>
      <c r="AO125">
        <v>0.89940828402366868</v>
      </c>
      <c r="AP125">
        <v>129</v>
      </c>
    </row>
    <row r="126" spans="1:42" x14ac:dyDescent="0.35">
      <c r="A126">
        <v>97469</v>
      </c>
      <c r="B126">
        <v>8619</v>
      </c>
      <c r="C126">
        <v>950498</v>
      </c>
      <c r="D126">
        <v>413</v>
      </c>
      <c r="E126" s="147">
        <v>44207</v>
      </c>
      <c r="F126" t="s">
        <v>520</v>
      </c>
      <c r="G126" t="s">
        <v>121</v>
      </c>
      <c r="H126" s="147">
        <v>44210</v>
      </c>
      <c r="I126">
        <v>7</v>
      </c>
      <c r="J126" t="s">
        <v>198</v>
      </c>
      <c r="L126">
        <v>0</v>
      </c>
      <c r="M126">
        <v>0</v>
      </c>
      <c r="U126">
        <v>640</v>
      </c>
      <c r="V126">
        <v>578</v>
      </c>
      <c r="W126">
        <v>0</v>
      </c>
      <c r="X126">
        <v>0</v>
      </c>
      <c r="Y126">
        <v>22</v>
      </c>
      <c r="Z126">
        <v>14</v>
      </c>
      <c r="AA126">
        <v>0</v>
      </c>
      <c r="AB126">
        <v>0</v>
      </c>
      <c r="AC126">
        <v>2</v>
      </c>
      <c r="AD126">
        <v>0</v>
      </c>
      <c r="AG126" t="s">
        <v>226</v>
      </c>
      <c r="AH126" t="s">
        <v>435</v>
      </c>
      <c r="AI126">
        <v>262</v>
      </c>
      <c r="AJ126">
        <v>73</v>
      </c>
      <c r="AK126">
        <v>88</v>
      </c>
      <c r="AL126">
        <v>1</v>
      </c>
      <c r="AM126">
        <v>0</v>
      </c>
      <c r="AN126" t="s">
        <v>49</v>
      </c>
      <c r="AO126">
        <v>0.90312499999999996</v>
      </c>
      <c r="AP126">
        <v>126</v>
      </c>
    </row>
    <row r="127" spans="1:42" x14ac:dyDescent="0.35">
      <c r="A127">
        <v>97541</v>
      </c>
      <c r="B127">
        <v>8619</v>
      </c>
      <c r="C127">
        <v>950570</v>
      </c>
      <c r="D127">
        <v>371</v>
      </c>
      <c r="E127" s="147">
        <v>44207</v>
      </c>
      <c r="F127" t="s">
        <v>516</v>
      </c>
      <c r="G127" t="s">
        <v>128</v>
      </c>
      <c r="H127" s="147">
        <v>44210</v>
      </c>
      <c r="I127">
        <v>7</v>
      </c>
      <c r="J127" t="s">
        <v>198</v>
      </c>
      <c r="L127">
        <v>0</v>
      </c>
      <c r="M127">
        <v>0</v>
      </c>
      <c r="U127">
        <v>600</v>
      </c>
      <c r="V127">
        <v>526</v>
      </c>
      <c r="W127">
        <v>0</v>
      </c>
      <c r="X127">
        <v>0</v>
      </c>
      <c r="Y127">
        <v>33</v>
      </c>
      <c r="Z127">
        <v>31</v>
      </c>
      <c r="AA127">
        <v>0</v>
      </c>
      <c r="AB127">
        <v>0</v>
      </c>
      <c r="AC127">
        <v>2</v>
      </c>
      <c r="AD127">
        <v>0</v>
      </c>
      <c r="AG127" t="s">
        <v>223</v>
      </c>
      <c r="AH127" t="s">
        <v>435</v>
      </c>
      <c r="AI127">
        <v>225</v>
      </c>
      <c r="AJ127">
        <v>51</v>
      </c>
      <c r="AK127">
        <v>64</v>
      </c>
      <c r="AL127">
        <v>3</v>
      </c>
      <c r="AM127">
        <v>0</v>
      </c>
      <c r="AN127" t="s">
        <v>49</v>
      </c>
      <c r="AO127">
        <v>0.87666666666666671</v>
      </c>
      <c r="AP127">
        <v>95</v>
      </c>
    </row>
    <row r="128" spans="1:42" x14ac:dyDescent="0.35">
      <c r="A128">
        <v>97593</v>
      </c>
      <c r="B128">
        <v>8619</v>
      </c>
      <c r="C128">
        <v>950622</v>
      </c>
      <c r="D128">
        <v>356</v>
      </c>
      <c r="E128" s="147">
        <v>44207</v>
      </c>
      <c r="F128" t="s">
        <v>517</v>
      </c>
      <c r="G128" t="s">
        <v>79</v>
      </c>
      <c r="H128" s="147">
        <v>44211</v>
      </c>
      <c r="I128">
        <v>7</v>
      </c>
      <c r="J128" t="s">
        <v>194</v>
      </c>
      <c r="L128">
        <v>0</v>
      </c>
      <c r="M128">
        <v>0</v>
      </c>
      <c r="U128">
        <v>523</v>
      </c>
      <c r="V128">
        <v>469</v>
      </c>
      <c r="W128">
        <v>0</v>
      </c>
      <c r="X128">
        <v>0</v>
      </c>
      <c r="Y128">
        <v>22</v>
      </c>
      <c r="Z128">
        <v>22</v>
      </c>
      <c r="AA128">
        <v>0</v>
      </c>
      <c r="AB128">
        <v>0</v>
      </c>
      <c r="AC128">
        <v>3</v>
      </c>
      <c r="AD128">
        <v>0</v>
      </c>
      <c r="AG128" t="s">
        <v>226</v>
      </c>
      <c r="AH128" t="s">
        <v>435</v>
      </c>
      <c r="AI128">
        <v>154</v>
      </c>
      <c r="AJ128">
        <v>31</v>
      </c>
      <c r="AK128">
        <v>68</v>
      </c>
      <c r="AL128">
        <v>0</v>
      </c>
      <c r="AM128">
        <v>0</v>
      </c>
      <c r="AN128" t="s">
        <v>49</v>
      </c>
      <c r="AO128">
        <v>0.89674952198852775</v>
      </c>
      <c r="AP128">
        <v>65</v>
      </c>
    </row>
    <row r="129" spans="1:42" x14ac:dyDescent="0.35">
      <c r="A129">
        <v>97612</v>
      </c>
      <c r="B129">
        <v>8619</v>
      </c>
      <c r="C129">
        <v>950641</v>
      </c>
      <c r="D129">
        <v>395</v>
      </c>
      <c r="E129" s="147">
        <v>44207</v>
      </c>
      <c r="F129" t="s">
        <v>521</v>
      </c>
      <c r="G129" t="s">
        <v>171</v>
      </c>
      <c r="H129" s="147">
        <v>44211</v>
      </c>
      <c r="I129">
        <v>7</v>
      </c>
      <c r="J129" t="s">
        <v>194</v>
      </c>
      <c r="L129">
        <v>0</v>
      </c>
      <c r="M129">
        <v>0</v>
      </c>
      <c r="U129">
        <v>283</v>
      </c>
      <c r="V129">
        <v>228</v>
      </c>
      <c r="W129">
        <v>0</v>
      </c>
      <c r="X129">
        <v>0</v>
      </c>
      <c r="Y129">
        <v>34</v>
      </c>
      <c r="Z129">
        <v>16</v>
      </c>
      <c r="AA129">
        <v>0</v>
      </c>
      <c r="AB129">
        <v>0</v>
      </c>
      <c r="AC129">
        <v>4</v>
      </c>
      <c r="AD129">
        <v>0</v>
      </c>
      <c r="AG129" t="s">
        <v>226</v>
      </c>
      <c r="AH129" t="s">
        <v>435</v>
      </c>
      <c r="AI129">
        <v>103</v>
      </c>
      <c r="AJ129">
        <v>28</v>
      </c>
      <c r="AK129">
        <v>59</v>
      </c>
      <c r="AL129">
        <v>2</v>
      </c>
      <c r="AM129">
        <v>0</v>
      </c>
      <c r="AN129" t="s">
        <v>49</v>
      </c>
      <c r="AO129">
        <v>0.80565371024734977</v>
      </c>
      <c r="AP129">
        <v>48</v>
      </c>
    </row>
    <row r="130" spans="1:42" x14ac:dyDescent="0.35">
      <c r="A130">
        <v>97652</v>
      </c>
      <c r="B130">
        <v>8619</v>
      </c>
      <c r="C130">
        <v>950681</v>
      </c>
      <c r="D130">
        <v>489</v>
      </c>
      <c r="E130" s="147">
        <v>44207</v>
      </c>
      <c r="F130" t="s">
        <v>519</v>
      </c>
      <c r="G130" t="s">
        <v>434</v>
      </c>
      <c r="H130" s="147">
        <v>44211</v>
      </c>
      <c r="I130">
        <v>7</v>
      </c>
      <c r="J130" t="s">
        <v>194</v>
      </c>
      <c r="L130">
        <v>0</v>
      </c>
      <c r="M130">
        <v>0</v>
      </c>
      <c r="U130">
        <v>536</v>
      </c>
      <c r="V130">
        <v>500</v>
      </c>
      <c r="W130">
        <v>0</v>
      </c>
      <c r="X130">
        <v>0</v>
      </c>
      <c r="Y130">
        <v>18</v>
      </c>
      <c r="Z130">
        <v>18</v>
      </c>
      <c r="AA130">
        <v>0</v>
      </c>
      <c r="AB130">
        <v>0</v>
      </c>
      <c r="AC130">
        <v>3</v>
      </c>
      <c r="AD130">
        <v>0</v>
      </c>
      <c r="AG130" t="s">
        <v>255</v>
      </c>
      <c r="AH130" t="s">
        <v>435</v>
      </c>
      <c r="AI130">
        <v>278</v>
      </c>
      <c r="AJ130">
        <v>104</v>
      </c>
      <c r="AK130">
        <v>58</v>
      </c>
      <c r="AL130">
        <v>6</v>
      </c>
      <c r="AM130">
        <v>0</v>
      </c>
      <c r="AN130" t="s">
        <v>49</v>
      </c>
      <c r="AO130">
        <v>0.93283582089552242</v>
      </c>
      <c r="AP130">
        <v>159</v>
      </c>
    </row>
    <row r="131" spans="1:42" x14ac:dyDescent="0.35">
      <c r="A131">
        <v>97662</v>
      </c>
      <c r="B131">
        <v>8619</v>
      </c>
      <c r="C131">
        <v>950691</v>
      </c>
      <c r="D131">
        <v>406</v>
      </c>
      <c r="E131" s="147">
        <v>44207</v>
      </c>
      <c r="F131" t="s">
        <v>522</v>
      </c>
      <c r="G131" t="s">
        <v>98</v>
      </c>
      <c r="H131" s="147">
        <v>44211</v>
      </c>
      <c r="I131">
        <v>7</v>
      </c>
      <c r="J131" t="s">
        <v>194</v>
      </c>
      <c r="L131">
        <v>0</v>
      </c>
      <c r="M131">
        <v>0</v>
      </c>
      <c r="U131">
        <v>741</v>
      </c>
      <c r="V131">
        <v>585</v>
      </c>
      <c r="W131">
        <v>0</v>
      </c>
      <c r="X131">
        <v>0</v>
      </c>
      <c r="Y131">
        <v>39</v>
      </c>
      <c r="Z131">
        <v>36</v>
      </c>
      <c r="AA131">
        <v>0</v>
      </c>
      <c r="AB131">
        <v>0</v>
      </c>
      <c r="AC131">
        <v>4</v>
      </c>
      <c r="AD131">
        <v>0</v>
      </c>
      <c r="AG131" t="s">
        <v>223</v>
      </c>
      <c r="AH131" t="s">
        <v>435</v>
      </c>
      <c r="AI131">
        <v>266</v>
      </c>
      <c r="AJ131">
        <v>67</v>
      </c>
      <c r="AK131">
        <v>111</v>
      </c>
      <c r="AL131">
        <v>7</v>
      </c>
      <c r="AM131">
        <v>0</v>
      </c>
      <c r="AN131" t="s">
        <v>49</v>
      </c>
      <c r="AO131">
        <v>0.78947368421052633</v>
      </c>
      <c r="AP131">
        <v>113</v>
      </c>
    </row>
    <row r="132" spans="1:42" x14ac:dyDescent="0.35">
      <c r="A132">
        <v>97668</v>
      </c>
      <c r="B132">
        <v>8619</v>
      </c>
      <c r="C132">
        <v>950697</v>
      </c>
      <c r="D132">
        <v>371</v>
      </c>
      <c r="E132" s="147">
        <v>44207</v>
      </c>
      <c r="F132" t="s">
        <v>516</v>
      </c>
      <c r="G132" t="s">
        <v>128</v>
      </c>
      <c r="H132" s="147">
        <v>44211</v>
      </c>
      <c r="I132">
        <v>7</v>
      </c>
      <c r="J132" t="s">
        <v>194</v>
      </c>
      <c r="L132">
        <v>0</v>
      </c>
      <c r="M132">
        <v>0</v>
      </c>
      <c r="U132">
        <v>587</v>
      </c>
      <c r="V132">
        <v>500</v>
      </c>
      <c r="W132">
        <v>0</v>
      </c>
      <c r="X132">
        <v>0</v>
      </c>
      <c r="Y132">
        <v>31</v>
      </c>
      <c r="Z132">
        <v>30</v>
      </c>
      <c r="AA132">
        <v>0</v>
      </c>
      <c r="AB132">
        <v>0</v>
      </c>
      <c r="AC132">
        <v>2</v>
      </c>
      <c r="AD132">
        <v>0</v>
      </c>
      <c r="AG132" t="s">
        <v>223</v>
      </c>
      <c r="AH132" t="s">
        <v>435</v>
      </c>
      <c r="AI132">
        <v>230</v>
      </c>
      <c r="AJ132">
        <v>51</v>
      </c>
      <c r="AK132">
        <v>89</v>
      </c>
      <c r="AL132">
        <v>12</v>
      </c>
      <c r="AM132">
        <v>0</v>
      </c>
      <c r="AN132" t="s">
        <v>49</v>
      </c>
      <c r="AO132">
        <v>0.85178875638841567</v>
      </c>
      <c r="AP132">
        <v>99</v>
      </c>
    </row>
    <row r="133" spans="1:42" x14ac:dyDescent="0.35">
      <c r="A133">
        <v>97720</v>
      </c>
      <c r="B133">
        <v>8619</v>
      </c>
      <c r="C133">
        <v>950749</v>
      </c>
      <c r="D133">
        <v>356</v>
      </c>
      <c r="E133" s="147">
        <v>44207</v>
      </c>
      <c r="F133" t="s">
        <v>517</v>
      </c>
      <c r="G133" t="s">
        <v>79</v>
      </c>
      <c r="H133" s="147">
        <v>44212</v>
      </c>
      <c r="I133">
        <v>7</v>
      </c>
      <c r="J133" t="s">
        <v>196</v>
      </c>
      <c r="L133">
        <v>0</v>
      </c>
      <c r="M133">
        <v>0</v>
      </c>
      <c r="U133">
        <v>503</v>
      </c>
      <c r="V133">
        <v>437</v>
      </c>
      <c r="W133">
        <v>0</v>
      </c>
      <c r="X133">
        <v>0</v>
      </c>
      <c r="Y133">
        <v>22</v>
      </c>
      <c r="Z133">
        <v>22</v>
      </c>
      <c r="AA133">
        <v>0</v>
      </c>
      <c r="AB133">
        <v>0</v>
      </c>
      <c r="AC133">
        <v>3</v>
      </c>
      <c r="AD133">
        <v>0</v>
      </c>
      <c r="AG133" t="s">
        <v>226</v>
      </c>
      <c r="AH133" t="s">
        <v>435</v>
      </c>
      <c r="AI133">
        <v>155</v>
      </c>
      <c r="AJ133">
        <v>29</v>
      </c>
      <c r="AK133">
        <v>61</v>
      </c>
      <c r="AL133">
        <v>0</v>
      </c>
      <c r="AM133">
        <v>0</v>
      </c>
      <c r="AN133" t="s">
        <v>49</v>
      </c>
      <c r="AO133">
        <v>0.8687872763419483</v>
      </c>
      <c r="AP133">
        <v>64</v>
      </c>
    </row>
    <row r="134" spans="1:42" x14ac:dyDescent="0.35">
      <c r="A134">
        <v>97722</v>
      </c>
      <c r="B134">
        <v>8619</v>
      </c>
      <c r="C134">
        <v>950751</v>
      </c>
      <c r="D134">
        <v>412</v>
      </c>
      <c r="E134" s="147">
        <v>44207</v>
      </c>
      <c r="F134" t="s">
        <v>518</v>
      </c>
      <c r="G134" t="s">
        <v>104</v>
      </c>
      <c r="H134" s="147">
        <v>44212</v>
      </c>
      <c r="I134">
        <v>7</v>
      </c>
      <c r="J134" t="s">
        <v>196</v>
      </c>
      <c r="L134">
        <v>0</v>
      </c>
      <c r="M134">
        <v>0</v>
      </c>
      <c r="U134">
        <v>507</v>
      </c>
      <c r="V134">
        <v>438</v>
      </c>
      <c r="W134">
        <v>0</v>
      </c>
      <c r="X134">
        <v>0</v>
      </c>
      <c r="Y134">
        <v>29</v>
      </c>
      <c r="Z134">
        <v>16</v>
      </c>
      <c r="AA134">
        <v>0</v>
      </c>
      <c r="AB134">
        <v>0</v>
      </c>
      <c r="AC134">
        <v>4</v>
      </c>
      <c r="AD134">
        <v>0</v>
      </c>
      <c r="AG134" t="s">
        <v>226</v>
      </c>
      <c r="AH134" t="s">
        <v>435</v>
      </c>
      <c r="AI134">
        <v>232</v>
      </c>
      <c r="AJ134">
        <v>81</v>
      </c>
      <c r="AK134">
        <v>82</v>
      </c>
      <c r="AL134">
        <v>10</v>
      </c>
      <c r="AM134">
        <v>0</v>
      </c>
      <c r="AN134" t="s">
        <v>49</v>
      </c>
      <c r="AO134">
        <v>0.86390532544378695</v>
      </c>
      <c r="AP134">
        <v>129</v>
      </c>
    </row>
    <row r="135" spans="1:42" x14ac:dyDescent="0.35">
      <c r="A135">
        <v>97723</v>
      </c>
      <c r="B135">
        <v>8619</v>
      </c>
      <c r="C135">
        <v>950752</v>
      </c>
      <c r="D135">
        <v>413</v>
      </c>
      <c r="E135" s="147">
        <v>44207</v>
      </c>
      <c r="F135" t="s">
        <v>520</v>
      </c>
      <c r="G135" t="s">
        <v>121</v>
      </c>
      <c r="H135" s="147">
        <v>44212</v>
      </c>
      <c r="I135">
        <v>7</v>
      </c>
      <c r="J135" t="s">
        <v>196</v>
      </c>
      <c r="L135">
        <v>0</v>
      </c>
      <c r="M135">
        <v>0</v>
      </c>
      <c r="U135">
        <v>652</v>
      </c>
      <c r="V135">
        <v>547</v>
      </c>
      <c r="W135">
        <v>0</v>
      </c>
      <c r="X135">
        <v>0</v>
      </c>
      <c r="Y135">
        <v>22</v>
      </c>
      <c r="Z135">
        <v>14</v>
      </c>
      <c r="AA135">
        <v>0</v>
      </c>
      <c r="AB135">
        <v>0</v>
      </c>
      <c r="AC135">
        <v>2</v>
      </c>
      <c r="AD135">
        <v>0</v>
      </c>
      <c r="AG135" t="s">
        <v>226</v>
      </c>
      <c r="AH135" t="s">
        <v>435</v>
      </c>
      <c r="AI135">
        <v>253</v>
      </c>
      <c r="AJ135">
        <v>72</v>
      </c>
      <c r="AK135">
        <v>67</v>
      </c>
      <c r="AL135">
        <v>1</v>
      </c>
      <c r="AM135">
        <v>0</v>
      </c>
      <c r="AN135" t="s">
        <v>49</v>
      </c>
      <c r="AO135">
        <v>0.83895705521472397</v>
      </c>
      <c r="AP135">
        <v>119</v>
      </c>
    </row>
    <row r="136" spans="1:42" x14ac:dyDescent="0.35">
      <c r="A136">
        <v>97745</v>
      </c>
      <c r="B136">
        <v>8619</v>
      </c>
      <c r="C136">
        <v>950774</v>
      </c>
      <c r="D136">
        <v>418</v>
      </c>
      <c r="E136" s="147">
        <v>44207</v>
      </c>
      <c r="F136" t="s">
        <v>514</v>
      </c>
      <c r="G136" t="s">
        <v>84</v>
      </c>
      <c r="H136" s="147">
        <v>44212</v>
      </c>
      <c r="I136">
        <v>7</v>
      </c>
      <c r="J136" t="s">
        <v>196</v>
      </c>
      <c r="L136">
        <v>0</v>
      </c>
      <c r="M136">
        <v>0</v>
      </c>
      <c r="U136">
        <v>666</v>
      </c>
      <c r="V136">
        <v>581</v>
      </c>
      <c r="W136">
        <v>0</v>
      </c>
      <c r="X136">
        <v>0</v>
      </c>
      <c r="Y136">
        <v>25</v>
      </c>
      <c r="Z136">
        <v>23</v>
      </c>
      <c r="AA136">
        <v>0</v>
      </c>
      <c r="AB136">
        <v>0</v>
      </c>
      <c r="AC136">
        <v>3</v>
      </c>
      <c r="AD136">
        <v>0</v>
      </c>
      <c r="AG136" t="s">
        <v>258</v>
      </c>
      <c r="AH136" t="s">
        <v>435</v>
      </c>
      <c r="AI136">
        <v>247</v>
      </c>
      <c r="AJ136">
        <v>65</v>
      </c>
      <c r="AK136">
        <v>103</v>
      </c>
      <c r="AL136">
        <v>9</v>
      </c>
      <c r="AM136">
        <v>0</v>
      </c>
      <c r="AN136" t="s">
        <v>49</v>
      </c>
      <c r="AO136">
        <v>0.87237237237237242</v>
      </c>
      <c r="AP136">
        <v>119</v>
      </c>
    </row>
    <row r="137" spans="1:42" x14ac:dyDescent="0.35">
      <c r="A137">
        <v>97779</v>
      </c>
      <c r="B137">
        <v>8619</v>
      </c>
      <c r="C137">
        <v>950808</v>
      </c>
      <c r="D137">
        <v>489</v>
      </c>
      <c r="E137" s="147">
        <v>44207</v>
      </c>
      <c r="F137" t="s">
        <v>519</v>
      </c>
      <c r="G137" t="s">
        <v>434</v>
      </c>
      <c r="H137" s="147">
        <v>44212</v>
      </c>
      <c r="I137">
        <v>7</v>
      </c>
      <c r="J137" t="s">
        <v>196</v>
      </c>
      <c r="L137">
        <v>0</v>
      </c>
      <c r="M137">
        <v>0</v>
      </c>
      <c r="U137">
        <v>530</v>
      </c>
      <c r="V137">
        <v>472</v>
      </c>
      <c r="W137">
        <v>0</v>
      </c>
      <c r="X137">
        <v>0</v>
      </c>
      <c r="Y137">
        <v>18</v>
      </c>
      <c r="Z137">
        <v>18</v>
      </c>
      <c r="AA137">
        <v>0</v>
      </c>
      <c r="AB137">
        <v>0</v>
      </c>
      <c r="AC137">
        <v>3</v>
      </c>
      <c r="AD137">
        <v>0</v>
      </c>
      <c r="AG137" t="s">
        <v>255</v>
      </c>
      <c r="AH137" t="s">
        <v>435</v>
      </c>
      <c r="AI137">
        <v>279</v>
      </c>
      <c r="AJ137">
        <v>104</v>
      </c>
      <c r="AK137">
        <v>61</v>
      </c>
      <c r="AL137">
        <v>4</v>
      </c>
      <c r="AM137">
        <v>0</v>
      </c>
      <c r="AN137" t="s">
        <v>49</v>
      </c>
      <c r="AO137">
        <v>0.89056603773584908</v>
      </c>
      <c r="AP137">
        <v>161</v>
      </c>
    </row>
    <row r="138" spans="1:42" x14ac:dyDescent="0.35">
      <c r="A138">
        <v>97784</v>
      </c>
      <c r="B138">
        <v>8619</v>
      </c>
      <c r="C138">
        <v>950813</v>
      </c>
      <c r="D138">
        <v>512</v>
      </c>
      <c r="E138" s="147">
        <v>44207</v>
      </c>
      <c r="F138" t="s">
        <v>523</v>
      </c>
      <c r="G138" t="s">
        <v>75</v>
      </c>
      <c r="H138" s="147">
        <v>44212</v>
      </c>
      <c r="I138">
        <v>7</v>
      </c>
      <c r="J138" t="s">
        <v>196</v>
      </c>
      <c r="L138">
        <v>0</v>
      </c>
      <c r="M138">
        <v>0</v>
      </c>
      <c r="U138">
        <v>386</v>
      </c>
      <c r="V138">
        <v>356</v>
      </c>
      <c r="W138">
        <v>0</v>
      </c>
      <c r="X138">
        <v>0</v>
      </c>
      <c r="Y138">
        <v>25</v>
      </c>
      <c r="Z138">
        <v>24</v>
      </c>
      <c r="AA138">
        <v>0</v>
      </c>
      <c r="AB138">
        <v>0</v>
      </c>
      <c r="AC138">
        <v>5</v>
      </c>
      <c r="AD138">
        <v>0</v>
      </c>
      <c r="AG138" t="s">
        <v>223</v>
      </c>
      <c r="AH138" t="s">
        <v>435</v>
      </c>
      <c r="AI138">
        <v>131</v>
      </c>
      <c r="AJ138">
        <v>45</v>
      </c>
      <c r="AK138">
        <v>51</v>
      </c>
      <c r="AL138">
        <v>5</v>
      </c>
      <c r="AM138">
        <v>0</v>
      </c>
      <c r="AN138" t="s">
        <v>49</v>
      </c>
      <c r="AO138">
        <v>0.92227979274611394</v>
      </c>
      <c r="AP138">
        <v>80</v>
      </c>
    </row>
    <row r="139" spans="1:42" x14ac:dyDescent="0.35">
      <c r="A139">
        <v>97789</v>
      </c>
      <c r="B139">
        <v>8619</v>
      </c>
      <c r="C139">
        <v>950818</v>
      </c>
      <c r="D139">
        <v>406</v>
      </c>
      <c r="E139" s="147">
        <v>44207</v>
      </c>
      <c r="F139" t="s">
        <v>522</v>
      </c>
      <c r="G139" t="s">
        <v>98</v>
      </c>
      <c r="H139" s="147">
        <v>44212</v>
      </c>
      <c r="I139">
        <v>7</v>
      </c>
      <c r="J139" t="s">
        <v>196</v>
      </c>
      <c r="L139">
        <v>0</v>
      </c>
      <c r="M139">
        <v>0</v>
      </c>
      <c r="U139">
        <v>715</v>
      </c>
      <c r="V139">
        <v>560</v>
      </c>
      <c r="W139">
        <v>0</v>
      </c>
      <c r="X139">
        <v>0</v>
      </c>
      <c r="Y139">
        <v>40</v>
      </c>
      <c r="Z139">
        <v>39</v>
      </c>
      <c r="AA139">
        <v>0</v>
      </c>
      <c r="AB139">
        <v>0</v>
      </c>
      <c r="AC139">
        <v>4</v>
      </c>
      <c r="AD139">
        <v>0</v>
      </c>
      <c r="AG139" t="s">
        <v>223</v>
      </c>
      <c r="AH139" t="s">
        <v>435</v>
      </c>
      <c r="AI139">
        <v>249</v>
      </c>
      <c r="AJ139">
        <v>63</v>
      </c>
      <c r="AK139">
        <v>102</v>
      </c>
      <c r="AL139">
        <v>0</v>
      </c>
      <c r="AM139">
        <v>0</v>
      </c>
      <c r="AN139" t="s">
        <v>49</v>
      </c>
      <c r="AO139">
        <v>0.78321678321678323</v>
      </c>
      <c r="AP139">
        <v>105</v>
      </c>
    </row>
    <row r="140" spans="1:42" x14ac:dyDescent="0.35">
      <c r="A140">
        <v>97806</v>
      </c>
      <c r="B140">
        <v>8619</v>
      </c>
      <c r="C140">
        <v>950835</v>
      </c>
      <c r="D140">
        <v>366</v>
      </c>
      <c r="E140" s="147">
        <v>44207</v>
      </c>
      <c r="F140" t="s">
        <v>524</v>
      </c>
      <c r="G140" t="s">
        <v>130</v>
      </c>
      <c r="H140" s="147">
        <v>44212</v>
      </c>
      <c r="I140">
        <v>7</v>
      </c>
      <c r="J140" t="s">
        <v>196</v>
      </c>
      <c r="L140">
        <v>0</v>
      </c>
      <c r="M140">
        <v>0</v>
      </c>
      <c r="U140">
        <v>777</v>
      </c>
      <c r="V140">
        <v>648</v>
      </c>
      <c r="W140">
        <v>0</v>
      </c>
      <c r="X140">
        <v>0</v>
      </c>
      <c r="Y140">
        <v>41</v>
      </c>
      <c r="Z140">
        <v>15</v>
      </c>
      <c r="AA140">
        <v>0</v>
      </c>
      <c r="AB140">
        <v>0</v>
      </c>
      <c r="AC140">
        <v>8</v>
      </c>
      <c r="AD140">
        <v>0</v>
      </c>
      <c r="AG140" t="s">
        <v>224</v>
      </c>
      <c r="AH140" t="s">
        <v>435</v>
      </c>
      <c r="AI140">
        <v>282</v>
      </c>
      <c r="AJ140">
        <v>107</v>
      </c>
      <c r="AK140">
        <v>69</v>
      </c>
      <c r="AL140">
        <v>1</v>
      </c>
      <c r="AM140">
        <v>0</v>
      </c>
      <c r="AN140" t="s">
        <v>49</v>
      </c>
      <c r="AO140">
        <v>0.83397683397683398</v>
      </c>
      <c r="AP140">
        <v>160</v>
      </c>
    </row>
    <row r="141" spans="1:42" x14ac:dyDescent="0.35">
      <c r="A141">
        <v>97808</v>
      </c>
      <c r="B141">
        <v>8619</v>
      </c>
      <c r="C141">
        <v>950837</v>
      </c>
      <c r="D141">
        <v>415</v>
      </c>
      <c r="E141" s="147">
        <v>44207</v>
      </c>
      <c r="F141" t="s">
        <v>525</v>
      </c>
      <c r="G141" t="s">
        <v>134</v>
      </c>
      <c r="H141" s="147">
        <v>44212</v>
      </c>
      <c r="I141">
        <v>7</v>
      </c>
      <c r="J141" t="s">
        <v>196</v>
      </c>
      <c r="L141">
        <v>0</v>
      </c>
      <c r="M141">
        <v>0</v>
      </c>
      <c r="U141">
        <v>411</v>
      </c>
      <c r="V141">
        <v>368</v>
      </c>
      <c r="W141">
        <v>0</v>
      </c>
      <c r="X141">
        <v>0</v>
      </c>
      <c r="Y141">
        <v>16</v>
      </c>
      <c r="Z141">
        <v>15</v>
      </c>
      <c r="AA141">
        <v>0</v>
      </c>
      <c r="AB141">
        <v>0</v>
      </c>
      <c r="AC141">
        <v>4</v>
      </c>
      <c r="AD141">
        <v>0</v>
      </c>
      <c r="AG141" t="s">
        <v>224</v>
      </c>
      <c r="AH141" t="s">
        <v>435</v>
      </c>
      <c r="AI141">
        <v>202</v>
      </c>
      <c r="AJ141">
        <v>81</v>
      </c>
      <c r="AK141">
        <v>32</v>
      </c>
      <c r="AL141">
        <v>1</v>
      </c>
      <c r="AM141">
        <v>0</v>
      </c>
      <c r="AN141" t="s">
        <v>49</v>
      </c>
      <c r="AO141">
        <v>0.89537712895377131</v>
      </c>
      <c r="AP141">
        <v>129</v>
      </c>
    </row>
    <row r="142" spans="1:42" x14ac:dyDescent="0.35">
      <c r="A142">
        <v>97821</v>
      </c>
      <c r="B142">
        <v>8619</v>
      </c>
      <c r="C142">
        <v>950850</v>
      </c>
      <c r="D142">
        <v>340</v>
      </c>
      <c r="E142" s="147">
        <v>44207</v>
      </c>
      <c r="F142" t="s">
        <v>526</v>
      </c>
      <c r="G142" t="s">
        <v>115</v>
      </c>
      <c r="H142" s="147">
        <v>44213</v>
      </c>
      <c r="I142">
        <v>7</v>
      </c>
      <c r="J142" t="s">
        <v>197</v>
      </c>
      <c r="L142">
        <v>0</v>
      </c>
      <c r="M142">
        <v>0</v>
      </c>
      <c r="U142">
        <v>400</v>
      </c>
      <c r="V142">
        <v>329</v>
      </c>
      <c r="W142">
        <v>0</v>
      </c>
      <c r="X142">
        <v>0</v>
      </c>
      <c r="Y142">
        <v>26</v>
      </c>
      <c r="Z142">
        <v>25</v>
      </c>
      <c r="AA142">
        <v>0</v>
      </c>
      <c r="AB142">
        <v>0</v>
      </c>
      <c r="AC142">
        <v>4</v>
      </c>
      <c r="AD142">
        <v>0</v>
      </c>
      <c r="AG142" t="s">
        <v>291</v>
      </c>
      <c r="AH142" t="s">
        <v>435</v>
      </c>
      <c r="AI142">
        <v>147</v>
      </c>
      <c r="AJ142">
        <v>50</v>
      </c>
      <c r="AK142">
        <v>66</v>
      </c>
      <c r="AL142">
        <v>3</v>
      </c>
      <c r="AM142">
        <v>0</v>
      </c>
      <c r="AN142" t="s">
        <v>49</v>
      </c>
      <c r="AO142">
        <v>0.82250000000000001</v>
      </c>
      <c r="AP142">
        <v>77</v>
      </c>
    </row>
    <row r="143" spans="1:42" x14ac:dyDescent="0.35">
      <c r="A143">
        <v>97849</v>
      </c>
      <c r="B143">
        <v>8619</v>
      </c>
      <c r="C143">
        <v>950878</v>
      </c>
      <c r="D143">
        <v>412</v>
      </c>
      <c r="E143" s="147">
        <v>44207</v>
      </c>
      <c r="F143" t="s">
        <v>518</v>
      </c>
      <c r="G143" t="s">
        <v>104</v>
      </c>
      <c r="H143" s="147">
        <v>44213</v>
      </c>
      <c r="I143">
        <v>7</v>
      </c>
      <c r="J143" t="s">
        <v>197</v>
      </c>
      <c r="L143">
        <v>0</v>
      </c>
      <c r="M143">
        <v>0</v>
      </c>
      <c r="U143">
        <v>506</v>
      </c>
      <c r="V143">
        <v>444</v>
      </c>
      <c r="W143">
        <v>0</v>
      </c>
      <c r="X143">
        <v>0</v>
      </c>
      <c r="Y143">
        <v>29</v>
      </c>
      <c r="Z143">
        <v>16</v>
      </c>
      <c r="AA143">
        <v>0</v>
      </c>
      <c r="AB143">
        <v>0</v>
      </c>
      <c r="AC143">
        <v>4</v>
      </c>
      <c r="AD143">
        <v>0</v>
      </c>
      <c r="AG143" t="s">
        <v>226</v>
      </c>
      <c r="AH143" t="s">
        <v>435</v>
      </c>
      <c r="AI143">
        <v>230</v>
      </c>
      <c r="AJ143">
        <v>78</v>
      </c>
      <c r="AK143">
        <v>60</v>
      </c>
      <c r="AL143">
        <v>3</v>
      </c>
      <c r="AM143">
        <v>0</v>
      </c>
      <c r="AN143" t="s">
        <v>49</v>
      </c>
      <c r="AO143">
        <v>0.87747035573122534</v>
      </c>
      <c r="AP143">
        <v>130</v>
      </c>
    </row>
    <row r="144" spans="1:42" x14ac:dyDescent="0.35">
      <c r="A144">
        <v>97866</v>
      </c>
      <c r="B144">
        <v>8619</v>
      </c>
      <c r="C144">
        <v>950895</v>
      </c>
      <c r="D144">
        <v>395</v>
      </c>
      <c r="E144" s="147">
        <v>44207</v>
      </c>
      <c r="F144" t="s">
        <v>521</v>
      </c>
      <c r="G144" t="s">
        <v>171</v>
      </c>
      <c r="H144" s="147">
        <v>44213</v>
      </c>
      <c r="I144">
        <v>7</v>
      </c>
      <c r="J144" t="s">
        <v>197</v>
      </c>
      <c r="L144">
        <v>0</v>
      </c>
      <c r="M144">
        <v>0</v>
      </c>
      <c r="U144">
        <v>283</v>
      </c>
      <c r="V144">
        <v>221</v>
      </c>
      <c r="W144">
        <v>0</v>
      </c>
      <c r="X144">
        <v>0</v>
      </c>
      <c r="Y144">
        <v>34</v>
      </c>
      <c r="Z144">
        <v>15</v>
      </c>
      <c r="AA144">
        <v>0</v>
      </c>
      <c r="AB144">
        <v>0</v>
      </c>
      <c r="AC144">
        <v>4</v>
      </c>
      <c r="AD144">
        <v>0</v>
      </c>
      <c r="AG144" t="s">
        <v>226</v>
      </c>
      <c r="AH144" t="s">
        <v>435</v>
      </c>
      <c r="AI144">
        <v>97</v>
      </c>
      <c r="AJ144">
        <v>25</v>
      </c>
      <c r="AK144">
        <v>44</v>
      </c>
      <c r="AL144">
        <v>0</v>
      </c>
      <c r="AM144">
        <v>0</v>
      </c>
      <c r="AN144" t="s">
        <v>49</v>
      </c>
      <c r="AO144">
        <v>0.78091872791519434</v>
      </c>
      <c r="AP144">
        <v>42</v>
      </c>
    </row>
    <row r="145" spans="1:42" x14ac:dyDescent="0.35">
      <c r="A145">
        <v>97868</v>
      </c>
      <c r="B145">
        <v>8619</v>
      </c>
      <c r="C145">
        <v>950897</v>
      </c>
      <c r="D145">
        <v>354</v>
      </c>
      <c r="E145" s="147">
        <v>44207</v>
      </c>
      <c r="F145" t="s">
        <v>527</v>
      </c>
      <c r="G145" t="s">
        <v>68</v>
      </c>
      <c r="H145" s="147">
        <v>44213</v>
      </c>
      <c r="I145">
        <v>7</v>
      </c>
      <c r="J145" t="s">
        <v>197</v>
      </c>
      <c r="L145">
        <v>0</v>
      </c>
      <c r="M145">
        <v>0</v>
      </c>
      <c r="U145">
        <v>380</v>
      </c>
      <c r="V145">
        <v>333</v>
      </c>
      <c r="W145">
        <v>0</v>
      </c>
      <c r="X145">
        <v>0</v>
      </c>
      <c r="Y145">
        <v>23</v>
      </c>
      <c r="Z145">
        <v>21</v>
      </c>
      <c r="AA145">
        <v>0</v>
      </c>
      <c r="AB145">
        <v>0</v>
      </c>
      <c r="AC145">
        <v>2</v>
      </c>
      <c r="AD145">
        <v>0</v>
      </c>
      <c r="AG145" t="s">
        <v>258</v>
      </c>
      <c r="AH145" t="s">
        <v>435</v>
      </c>
      <c r="AI145">
        <v>117</v>
      </c>
      <c r="AJ145">
        <v>23</v>
      </c>
      <c r="AK145">
        <v>0</v>
      </c>
      <c r="AL145">
        <v>14</v>
      </c>
      <c r="AM145">
        <v>0</v>
      </c>
      <c r="AN145" t="s">
        <v>49</v>
      </c>
      <c r="AO145">
        <v>0.87631578947368416</v>
      </c>
      <c r="AP145">
        <v>47</v>
      </c>
    </row>
    <row r="146" spans="1:42" x14ac:dyDescent="0.35">
      <c r="A146">
        <v>97906</v>
      </c>
      <c r="B146">
        <v>8619</v>
      </c>
      <c r="C146">
        <v>950935</v>
      </c>
      <c r="D146">
        <v>489</v>
      </c>
      <c r="E146" s="147">
        <v>44207</v>
      </c>
      <c r="F146" t="s">
        <v>519</v>
      </c>
      <c r="G146" t="s">
        <v>434</v>
      </c>
      <c r="H146" s="147">
        <v>44213</v>
      </c>
      <c r="I146">
        <v>7</v>
      </c>
      <c r="J146" t="s">
        <v>197</v>
      </c>
      <c r="L146">
        <v>0</v>
      </c>
      <c r="M146">
        <v>0</v>
      </c>
      <c r="U146">
        <v>525</v>
      </c>
      <c r="V146">
        <v>469</v>
      </c>
      <c r="W146">
        <v>0</v>
      </c>
      <c r="X146">
        <v>0</v>
      </c>
      <c r="Y146">
        <v>18</v>
      </c>
      <c r="Z146">
        <v>18</v>
      </c>
      <c r="AA146">
        <v>0</v>
      </c>
      <c r="AB146">
        <v>0</v>
      </c>
      <c r="AC146">
        <v>3</v>
      </c>
      <c r="AD146">
        <v>0</v>
      </c>
      <c r="AG146" t="s">
        <v>255</v>
      </c>
      <c r="AH146" t="s">
        <v>435</v>
      </c>
      <c r="AI146">
        <v>287</v>
      </c>
      <c r="AJ146">
        <v>107</v>
      </c>
      <c r="AK146">
        <v>0</v>
      </c>
      <c r="AL146">
        <v>0</v>
      </c>
      <c r="AM146">
        <v>0</v>
      </c>
      <c r="AN146" t="s">
        <v>49</v>
      </c>
      <c r="AO146">
        <v>0.89333333333333331</v>
      </c>
      <c r="AP146">
        <v>167</v>
      </c>
    </row>
    <row r="147" spans="1:42" x14ac:dyDescent="0.35">
      <c r="A147">
        <v>97916</v>
      </c>
      <c r="B147">
        <v>8619</v>
      </c>
      <c r="C147">
        <v>950945</v>
      </c>
      <c r="D147">
        <v>406</v>
      </c>
      <c r="E147" s="147">
        <v>44207</v>
      </c>
      <c r="F147" t="s">
        <v>522</v>
      </c>
      <c r="G147" t="s">
        <v>98</v>
      </c>
      <c r="H147" s="147">
        <v>44213</v>
      </c>
      <c r="I147">
        <v>7</v>
      </c>
      <c r="J147" t="s">
        <v>197</v>
      </c>
      <c r="L147">
        <v>0</v>
      </c>
      <c r="M147">
        <v>0</v>
      </c>
      <c r="U147">
        <v>734</v>
      </c>
      <c r="V147">
        <v>564</v>
      </c>
      <c r="W147">
        <v>0</v>
      </c>
      <c r="X147">
        <v>0</v>
      </c>
      <c r="Y147">
        <v>42</v>
      </c>
      <c r="Z147">
        <v>40</v>
      </c>
      <c r="AA147">
        <v>0</v>
      </c>
      <c r="AB147">
        <v>0</v>
      </c>
      <c r="AC147">
        <v>4</v>
      </c>
      <c r="AD147">
        <v>0</v>
      </c>
      <c r="AG147" t="s">
        <v>223</v>
      </c>
      <c r="AH147" t="s">
        <v>435</v>
      </c>
      <c r="AI147">
        <v>260</v>
      </c>
      <c r="AJ147">
        <v>63</v>
      </c>
      <c r="AK147">
        <v>92</v>
      </c>
      <c r="AL147">
        <v>2</v>
      </c>
      <c r="AM147">
        <v>0</v>
      </c>
      <c r="AN147" t="s">
        <v>49</v>
      </c>
      <c r="AO147">
        <v>0.76839237057220711</v>
      </c>
      <c r="AP147">
        <v>107</v>
      </c>
    </row>
    <row r="148" spans="1:42" x14ac:dyDescent="0.35">
      <c r="A148">
        <v>97922</v>
      </c>
      <c r="B148">
        <v>8619</v>
      </c>
      <c r="C148">
        <v>950951</v>
      </c>
      <c r="D148">
        <v>371</v>
      </c>
      <c r="E148" s="147">
        <v>44207</v>
      </c>
      <c r="F148" t="s">
        <v>516</v>
      </c>
      <c r="G148" t="s">
        <v>128</v>
      </c>
      <c r="H148" s="147">
        <v>44213</v>
      </c>
      <c r="I148">
        <v>7</v>
      </c>
      <c r="J148" t="s">
        <v>197</v>
      </c>
      <c r="L148">
        <v>0</v>
      </c>
      <c r="M148">
        <v>0</v>
      </c>
      <c r="U148">
        <v>618</v>
      </c>
      <c r="V148">
        <v>534</v>
      </c>
      <c r="W148">
        <v>0</v>
      </c>
      <c r="X148">
        <v>0</v>
      </c>
      <c r="Y148">
        <v>32</v>
      </c>
      <c r="Z148">
        <v>28</v>
      </c>
      <c r="AA148">
        <v>0</v>
      </c>
      <c r="AB148">
        <v>0</v>
      </c>
      <c r="AC148">
        <v>2</v>
      </c>
      <c r="AD148">
        <v>0</v>
      </c>
      <c r="AG148" t="s">
        <v>223</v>
      </c>
      <c r="AH148" t="s">
        <v>435</v>
      </c>
      <c r="AI148">
        <v>237</v>
      </c>
      <c r="AJ148">
        <v>49</v>
      </c>
      <c r="AK148">
        <v>0</v>
      </c>
      <c r="AL148">
        <v>0</v>
      </c>
      <c r="AM148">
        <v>0</v>
      </c>
      <c r="AN148" t="s">
        <v>49</v>
      </c>
      <c r="AO148">
        <v>0.86407766990291257</v>
      </c>
      <c r="AP148">
        <v>99</v>
      </c>
    </row>
    <row r="149" spans="1:42" x14ac:dyDescent="0.35">
      <c r="A149">
        <v>97072</v>
      </c>
      <c r="B149">
        <v>8619</v>
      </c>
      <c r="C149">
        <v>950101</v>
      </c>
      <c r="D149">
        <v>432</v>
      </c>
      <c r="E149" s="147">
        <v>44207</v>
      </c>
      <c r="F149" t="s">
        <v>528</v>
      </c>
      <c r="G149" t="s">
        <v>100</v>
      </c>
      <c r="H149" s="147">
        <v>44207</v>
      </c>
      <c r="I149">
        <v>7</v>
      </c>
      <c r="J149" t="s">
        <v>195</v>
      </c>
      <c r="L149">
        <v>0</v>
      </c>
      <c r="M149">
        <v>0</v>
      </c>
      <c r="U149">
        <v>304</v>
      </c>
      <c r="V149">
        <v>284</v>
      </c>
      <c r="W149">
        <v>0</v>
      </c>
      <c r="X149">
        <v>0</v>
      </c>
      <c r="Y149">
        <v>22</v>
      </c>
      <c r="Z149">
        <v>22</v>
      </c>
      <c r="AA149">
        <v>0</v>
      </c>
      <c r="AB149">
        <v>0</v>
      </c>
      <c r="AC149">
        <v>24</v>
      </c>
      <c r="AD149">
        <v>21</v>
      </c>
      <c r="AG149" t="s">
        <v>1</v>
      </c>
      <c r="AH149" t="s">
        <v>435</v>
      </c>
      <c r="AI149">
        <v>77</v>
      </c>
      <c r="AJ149">
        <v>12</v>
      </c>
      <c r="AK149">
        <v>56</v>
      </c>
      <c r="AL149">
        <v>0</v>
      </c>
      <c r="AM149">
        <v>0</v>
      </c>
      <c r="AN149" t="s">
        <v>49</v>
      </c>
      <c r="AO149">
        <v>0.93421052631578949</v>
      </c>
      <c r="AP149">
        <v>27</v>
      </c>
    </row>
    <row r="150" spans="1:42" x14ac:dyDescent="0.35">
      <c r="A150">
        <v>97075</v>
      </c>
      <c r="B150">
        <v>8619</v>
      </c>
      <c r="C150">
        <v>950104</v>
      </c>
      <c r="D150">
        <v>316</v>
      </c>
      <c r="E150" s="147">
        <v>44207</v>
      </c>
      <c r="F150" t="s">
        <v>529</v>
      </c>
      <c r="G150" t="s">
        <v>106</v>
      </c>
      <c r="H150" s="147">
        <v>44207</v>
      </c>
      <c r="I150">
        <v>7</v>
      </c>
      <c r="J150" t="s">
        <v>195</v>
      </c>
      <c r="L150">
        <v>0</v>
      </c>
      <c r="M150">
        <v>0</v>
      </c>
      <c r="U150">
        <v>379</v>
      </c>
      <c r="V150">
        <v>346</v>
      </c>
      <c r="W150">
        <v>0</v>
      </c>
      <c r="X150">
        <v>0</v>
      </c>
      <c r="Y150">
        <v>23</v>
      </c>
      <c r="Z150">
        <v>21</v>
      </c>
      <c r="AA150">
        <v>0</v>
      </c>
      <c r="AB150">
        <v>0</v>
      </c>
      <c r="AC150">
        <v>8</v>
      </c>
      <c r="AD150">
        <v>8</v>
      </c>
      <c r="AG150" t="s">
        <v>1</v>
      </c>
      <c r="AH150" t="s">
        <v>435</v>
      </c>
      <c r="AI150">
        <v>144</v>
      </c>
      <c r="AJ150">
        <v>39</v>
      </c>
      <c r="AK150">
        <v>71</v>
      </c>
      <c r="AL150">
        <v>0</v>
      </c>
      <c r="AM150">
        <v>0</v>
      </c>
      <c r="AN150" t="s">
        <v>49</v>
      </c>
      <c r="AO150">
        <v>0.9129287598944591</v>
      </c>
      <c r="AP150">
        <v>69</v>
      </c>
    </row>
    <row r="151" spans="1:42" x14ac:dyDescent="0.35">
      <c r="A151">
        <v>97081</v>
      </c>
      <c r="B151">
        <v>8619</v>
      </c>
      <c r="C151">
        <v>950110</v>
      </c>
      <c r="D151">
        <v>314</v>
      </c>
      <c r="E151" s="147">
        <v>44207</v>
      </c>
      <c r="F151" t="s">
        <v>530</v>
      </c>
      <c r="G151" t="s">
        <v>149</v>
      </c>
      <c r="H151" s="147">
        <v>44207</v>
      </c>
      <c r="I151">
        <v>7</v>
      </c>
      <c r="J151" t="s">
        <v>195</v>
      </c>
      <c r="L151">
        <v>0</v>
      </c>
      <c r="M151">
        <v>0</v>
      </c>
      <c r="U151">
        <v>318</v>
      </c>
      <c r="V151">
        <v>302</v>
      </c>
      <c r="W151">
        <v>0</v>
      </c>
      <c r="X151">
        <v>0</v>
      </c>
      <c r="Y151">
        <v>12</v>
      </c>
      <c r="Z151">
        <v>12</v>
      </c>
      <c r="AA151">
        <v>0</v>
      </c>
      <c r="AB151">
        <v>0</v>
      </c>
      <c r="AC151">
        <v>8</v>
      </c>
      <c r="AD151">
        <v>8</v>
      </c>
      <c r="AG151" t="s">
        <v>1</v>
      </c>
      <c r="AH151" t="s">
        <v>435</v>
      </c>
      <c r="AI151">
        <v>111</v>
      </c>
      <c r="AJ151">
        <v>34</v>
      </c>
      <c r="AK151">
        <v>57</v>
      </c>
      <c r="AL151">
        <v>0</v>
      </c>
      <c r="AM151">
        <v>0</v>
      </c>
      <c r="AN151" t="s">
        <v>49</v>
      </c>
      <c r="AO151">
        <v>0.94968553459119498</v>
      </c>
      <c r="AP151">
        <v>56</v>
      </c>
    </row>
    <row r="152" spans="1:42" x14ac:dyDescent="0.35">
      <c r="A152">
        <v>97108</v>
      </c>
      <c r="B152">
        <v>8619</v>
      </c>
      <c r="C152">
        <v>950137</v>
      </c>
      <c r="D152">
        <v>491</v>
      </c>
      <c r="E152" s="147">
        <v>44207</v>
      </c>
      <c r="F152" t="s">
        <v>531</v>
      </c>
      <c r="G152" t="s">
        <v>76</v>
      </c>
      <c r="H152" s="147">
        <v>44207</v>
      </c>
      <c r="I152">
        <v>7</v>
      </c>
      <c r="J152" t="s">
        <v>195</v>
      </c>
      <c r="L152">
        <v>0</v>
      </c>
      <c r="M152">
        <v>0</v>
      </c>
      <c r="U152">
        <v>556</v>
      </c>
      <c r="V152">
        <v>469</v>
      </c>
      <c r="W152">
        <v>0</v>
      </c>
      <c r="X152">
        <v>0</v>
      </c>
      <c r="Y152">
        <v>13</v>
      </c>
      <c r="Z152">
        <v>13</v>
      </c>
      <c r="AA152">
        <v>0</v>
      </c>
      <c r="AB152">
        <v>0</v>
      </c>
      <c r="AC152">
        <v>6</v>
      </c>
      <c r="AD152">
        <v>5</v>
      </c>
      <c r="AG152" t="s">
        <v>258</v>
      </c>
      <c r="AH152" t="s">
        <v>435</v>
      </c>
      <c r="AI152">
        <v>194</v>
      </c>
      <c r="AJ152">
        <v>42</v>
      </c>
      <c r="AK152">
        <v>66</v>
      </c>
      <c r="AL152">
        <v>0</v>
      </c>
      <c r="AM152">
        <v>0</v>
      </c>
      <c r="AN152" t="s">
        <v>49</v>
      </c>
      <c r="AO152">
        <v>0.84352517985611508</v>
      </c>
      <c r="AP152">
        <v>95</v>
      </c>
    </row>
    <row r="153" spans="1:42" x14ac:dyDescent="0.35">
      <c r="A153">
        <v>97161</v>
      </c>
      <c r="B153">
        <v>8619</v>
      </c>
      <c r="C153">
        <v>950190</v>
      </c>
      <c r="D153">
        <v>304</v>
      </c>
      <c r="E153" s="147">
        <v>44207</v>
      </c>
      <c r="F153" t="s">
        <v>532</v>
      </c>
      <c r="G153" t="s">
        <v>262</v>
      </c>
      <c r="H153" s="147">
        <v>44207</v>
      </c>
      <c r="I153">
        <v>7</v>
      </c>
      <c r="J153" t="s">
        <v>195</v>
      </c>
      <c r="L153">
        <v>0</v>
      </c>
      <c r="M153">
        <v>0</v>
      </c>
      <c r="U153">
        <v>437</v>
      </c>
      <c r="V153">
        <v>369</v>
      </c>
      <c r="W153">
        <v>0</v>
      </c>
      <c r="X153">
        <v>0</v>
      </c>
      <c r="Y153">
        <v>27</v>
      </c>
      <c r="Z153">
        <v>25</v>
      </c>
      <c r="AA153">
        <v>0</v>
      </c>
      <c r="AB153">
        <v>0</v>
      </c>
      <c r="AC153">
        <v>4</v>
      </c>
      <c r="AD153">
        <v>3</v>
      </c>
      <c r="AG153" t="s">
        <v>223</v>
      </c>
      <c r="AH153" t="s">
        <v>435</v>
      </c>
      <c r="AI153">
        <v>184</v>
      </c>
      <c r="AJ153">
        <v>52</v>
      </c>
      <c r="AK153">
        <v>36</v>
      </c>
      <c r="AL153">
        <v>0</v>
      </c>
      <c r="AM153">
        <v>0</v>
      </c>
      <c r="AN153" t="s">
        <v>49</v>
      </c>
      <c r="AO153">
        <v>0.84439359267734548</v>
      </c>
      <c r="AP153">
        <v>90</v>
      </c>
    </row>
    <row r="154" spans="1:42" x14ac:dyDescent="0.35">
      <c r="A154">
        <v>97162</v>
      </c>
      <c r="B154">
        <v>8619</v>
      </c>
      <c r="C154">
        <v>950191</v>
      </c>
      <c r="D154">
        <v>456</v>
      </c>
      <c r="E154" s="147">
        <v>44207</v>
      </c>
      <c r="F154" t="s">
        <v>533</v>
      </c>
      <c r="G154" t="s">
        <v>146</v>
      </c>
      <c r="H154" s="147">
        <v>44207</v>
      </c>
      <c r="I154">
        <v>7</v>
      </c>
      <c r="J154" t="s">
        <v>195</v>
      </c>
      <c r="L154">
        <v>0</v>
      </c>
      <c r="M154">
        <v>0</v>
      </c>
      <c r="U154">
        <v>585</v>
      </c>
      <c r="V154">
        <v>572</v>
      </c>
      <c r="W154">
        <v>0</v>
      </c>
      <c r="X154">
        <v>0</v>
      </c>
      <c r="Y154">
        <v>26</v>
      </c>
      <c r="Z154">
        <v>23</v>
      </c>
      <c r="AA154">
        <v>0</v>
      </c>
      <c r="AB154">
        <v>0</v>
      </c>
      <c r="AC154">
        <v>23</v>
      </c>
      <c r="AD154">
        <v>10</v>
      </c>
      <c r="AG154" t="s">
        <v>223</v>
      </c>
      <c r="AH154" t="s">
        <v>435</v>
      </c>
      <c r="AI154">
        <v>273</v>
      </c>
      <c r="AJ154">
        <v>87</v>
      </c>
      <c r="AK154">
        <v>113</v>
      </c>
      <c r="AL154">
        <v>0</v>
      </c>
      <c r="AM154">
        <v>0</v>
      </c>
      <c r="AN154" t="s">
        <v>49</v>
      </c>
      <c r="AO154">
        <v>0.97777777777777775</v>
      </c>
      <c r="AP154">
        <v>154</v>
      </c>
    </row>
    <row r="155" spans="1:42" x14ac:dyDescent="0.35">
      <c r="A155">
        <v>97199</v>
      </c>
      <c r="B155">
        <v>8619</v>
      </c>
      <c r="C155">
        <v>950228</v>
      </c>
      <c r="D155">
        <v>432</v>
      </c>
      <c r="E155" s="147">
        <v>44207</v>
      </c>
      <c r="F155" t="s">
        <v>528</v>
      </c>
      <c r="G155" t="s">
        <v>100</v>
      </c>
      <c r="H155" s="147">
        <v>44208</v>
      </c>
      <c r="I155">
        <v>7</v>
      </c>
      <c r="J155" t="s">
        <v>199</v>
      </c>
      <c r="L155">
        <v>0</v>
      </c>
      <c r="M155">
        <v>0</v>
      </c>
      <c r="U155">
        <v>304</v>
      </c>
      <c r="V155">
        <v>276</v>
      </c>
      <c r="W155">
        <v>0</v>
      </c>
      <c r="X155">
        <v>0</v>
      </c>
      <c r="Y155">
        <v>24</v>
      </c>
      <c r="Z155">
        <v>22</v>
      </c>
      <c r="AA155">
        <v>0</v>
      </c>
      <c r="AB155">
        <v>0</v>
      </c>
      <c r="AC155">
        <v>24</v>
      </c>
      <c r="AD155">
        <v>16</v>
      </c>
      <c r="AG155" t="s">
        <v>1</v>
      </c>
      <c r="AH155" t="s">
        <v>435</v>
      </c>
      <c r="AI155">
        <v>81</v>
      </c>
      <c r="AJ155">
        <v>13</v>
      </c>
      <c r="AK155">
        <v>53</v>
      </c>
      <c r="AL155">
        <v>0</v>
      </c>
      <c r="AM155">
        <v>0</v>
      </c>
      <c r="AN155" t="s">
        <v>49</v>
      </c>
      <c r="AO155">
        <v>0.90789473684210531</v>
      </c>
      <c r="AP155">
        <v>29</v>
      </c>
    </row>
    <row r="156" spans="1:42" x14ac:dyDescent="0.35">
      <c r="A156">
        <v>97208</v>
      </c>
      <c r="B156">
        <v>8619</v>
      </c>
      <c r="C156">
        <v>950237</v>
      </c>
      <c r="D156">
        <v>314</v>
      </c>
      <c r="E156" s="147">
        <v>44207</v>
      </c>
      <c r="F156" t="s">
        <v>530</v>
      </c>
      <c r="G156" t="s">
        <v>149</v>
      </c>
      <c r="H156" s="147">
        <v>44208</v>
      </c>
      <c r="I156">
        <v>7</v>
      </c>
      <c r="J156" t="s">
        <v>199</v>
      </c>
      <c r="L156">
        <v>0</v>
      </c>
      <c r="M156">
        <v>0</v>
      </c>
      <c r="U156">
        <v>323</v>
      </c>
      <c r="V156">
        <v>285</v>
      </c>
      <c r="W156">
        <v>0</v>
      </c>
      <c r="X156">
        <v>0</v>
      </c>
      <c r="Y156">
        <v>15</v>
      </c>
      <c r="Z156">
        <v>15</v>
      </c>
      <c r="AA156">
        <v>0</v>
      </c>
      <c r="AB156">
        <v>0</v>
      </c>
      <c r="AC156">
        <v>8</v>
      </c>
      <c r="AD156">
        <v>8</v>
      </c>
      <c r="AG156" t="s">
        <v>1</v>
      </c>
      <c r="AH156" t="s">
        <v>435</v>
      </c>
      <c r="AI156">
        <v>111</v>
      </c>
      <c r="AJ156">
        <v>33</v>
      </c>
      <c r="AK156">
        <v>64</v>
      </c>
      <c r="AL156">
        <v>0</v>
      </c>
      <c r="AM156">
        <v>0</v>
      </c>
      <c r="AN156" t="s">
        <v>49</v>
      </c>
      <c r="AO156">
        <v>0.88235294117647056</v>
      </c>
      <c r="AP156">
        <v>57</v>
      </c>
    </row>
    <row r="157" spans="1:42" x14ac:dyDescent="0.35">
      <c r="A157">
        <v>97209</v>
      </c>
      <c r="B157">
        <v>8619</v>
      </c>
      <c r="C157">
        <v>950238</v>
      </c>
      <c r="D157">
        <v>444</v>
      </c>
      <c r="E157" s="147">
        <v>44207</v>
      </c>
      <c r="F157" t="s">
        <v>534</v>
      </c>
      <c r="G157" t="s">
        <v>156</v>
      </c>
      <c r="H157" s="147">
        <v>44208</v>
      </c>
      <c r="I157">
        <v>7</v>
      </c>
      <c r="J157" t="s">
        <v>199</v>
      </c>
      <c r="L157">
        <v>0</v>
      </c>
      <c r="M157">
        <v>0</v>
      </c>
      <c r="U157">
        <v>508</v>
      </c>
      <c r="V157">
        <v>469</v>
      </c>
      <c r="W157">
        <v>0</v>
      </c>
      <c r="X157">
        <v>0</v>
      </c>
      <c r="Y157">
        <v>112</v>
      </c>
      <c r="Z157">
        <v>99</v>
      </c>
      <c r="AA157">
        <v>0</v>
      </c>
      <c r="AB157">
        <v>0</v>
      </c>
      <c r="AC157">
        <v>32</v>
      </c>
      <c r="AD157">
        <v>20</v>
      </c>
      <c r="AG157" t="s">
        <v>1</v>
      </c>
      <c r="AH157" t="s">
        <v>435</v>
      </c>
      <c r="AI157">
        <v>207</v>
      </c>
      <c r="AJ157">
        <v>81</v>
      </c>
      <c r="AK157">
        <v>45</v>
      </c>
      <c r="AL157">
        <v>0</v>
      </c>
      <c r="AM157">
        <v>0</v>
      </c>
      <c r="AN157" t="s">
        <v>49</v>
      </c>
      <c r="AO157">
        <v>0.92322834645669294</v>
      </c>
      <c r="AP157">
        <v>114</v>
      </c>
    </row>
    <row r="158" spans="1:42" x14ac:dyDescent="0.35">
      <c r="A158">
        <v>97210</v>
      </c>
      <c r="B158">
        <v>8619</v>
      </c>
      <c r="C158">
        <v>950239</v>
      </c>
      <c r="D158">
        <v>390</v>
      </c>
      <c r="E158" s="147">
        <v>44207</v>
      </c>
      <c r="F158" t="s">
        <v>513</v>
      </c>
      <c r="G158" t="s">
        <v>167</v>
      </c>
      <c r="H158" s="147">
        <v>44208</v>
      </c>
      <c r="I158">
        <v>7</v>
      </c>
      <c r="J158" t="s">
        <v>199</v>
      </c>
      <c r="L158">
        <v>0</v>
      </c>
      <c r="M158">
        <v>0</v>
      </c>
      <c r="U158">
        <v>243</v>
      </c>
      <c r="V158">
        <v>233</v>
      </c>
      <c r="W158">
        <v>0</v>
      </c>
      <c r="X158">
        <v>0</v>
      </c>
      <c r="Y158">
        <v>12</v>
      </c>
      <c r="Z158">
        <v>12</v>
      </c>
      <c r="AA158">
        <v>0</v>
      </c>
      <c r="AB158">
        <v>0</v>
      </c>
      <c r="AC158">
        <v>6</v>
      </c>
      <c r="AD158">
        <v>4</v>
      </c>
      <c r="AG158" t="s">
        <v>1</v>
      </c>
      <c r="AH158" t="s">
        <v>435</v>
      </c>
      <c r="AI158">
        <v>81</v>
      </c>
      <c r="AJ158">
        <v>22</v>
      </c>
      <c r="AK158">
        <v>46</v>
      </c>
      <c r="AL158">
        <v>0</v>
      </c>
      <c r="AM158">
        <v>0</v>
      </c>
      <c r="AN158" t="s">
        <v>49</v>
      </c>
      <c r="AO158">
        <v>0.95884773662551437</v>
      </c>
      <c r="AP158">
        <v>32</v>
      </c>
    </row>
    <row r="159" spans="1:42" x14ac:dyDescent="0.35">
      <c r="A159">
        <v>97235</v>
      </c>
      <c r="B159">
        <v>8619</v>
      </c>
      <c r="C159">
        <v>950264</v>
      </c>
      <c r="D159">
        <v>491</v>
      </c>
      <c r="E159" s="147">
        <v>44207</v>
      </c>
      <c r="F159" t="s">
        <v>531</v>
      </c>
      <c r="G159" t="s">
        <v>76</v>
      </c>
      <c r="H159" s="147">
        <v>44208</v>
      </c>
      <c r="I159">
        <v>7</v>
      </c>
      <c r="J159" t="s">
        <v>199</v>
      </c>
      <c r="L159">
        <v>0</v>
      </c>
      <c r="M159">
        <v>0</v>
      </c>
      <c r="U159">
        <v>556</v>
      </c>
      <c r="V159">
        <v>491</v>
      </c>
      <c r="W159">
        <v>0</v>
      </c>
      <c r="X159">
        <v>0</v>
      </c>
      <c r="Y159">
        <v>13</v>
      </c>
      <c r="Z159">
        <v>13</v>
      </c>
      <c r="AA159">
        <v>0</v>
      </c>
      <c r="AB159">
        <v>0</v>
      </c>
      <c r="AC159">
        <v>6</v>
      </c>
      <c r="AD159">
        <v>5</v>
      </c>
      <c r="AG159" t="s">
        <v>258</v>
      </c>
      <c r="AH159" t="s">
        <v>435</v>
      </c>
      <c r="AI159">
        <v>191</v>
      </c>
      <c r="AJ159">
        <v>43</v>
      </c>
      <c r="AK159">
        <v>61</v>
      </c>
      <c r="AL159">
        <v>0</v>
      </c>
      <c r="AM159">
        <v>0</v>
      </c>
      <c r="AN159" t="s">
        <v>49</v>
      </c>
      <c r="AO159">
        <v>0.88309352517985606</v>
      </c>
      <c r="AP159">
        <v>90</v>
      </c>
    </row>
    <row r="160" spans="1:42" x14ac:dyDescent="0.35">
      <c r="A160">
        <v>97252</v>
      </c>
      <c r="B160">
        <v>8619</v>
      </c>
      <c r="C160">
        <v>950281</v>
      </c>
      <c r="D160">
        <v>355</v>
      </c>
      <c r="E160" s="147">
        <v>44207</v>
      </c>
      <c r="F160" t="s">
        <v>535</v>
      </c>
      <c r="G160" t="s">
        <v>152</v>
      </c>
      <c r="H160" s="147">
        <v>44208</v>
      </c>
      <c r="I160">
        <v>7</v>
      </c>
      <c r="J160" t="s">
        <v>199</v>
      </c>
      <c r="L160">
        <v>0</v>
      </c>
      <c r="M160">
        <v>0</v>
      </c>
      <c r="U160">
        <v>455</v>
      </c>
      <c r="V160">
        <v>429</v>
      </c>
      <c r="W160">
        <v>0</v>
      </c>
      <c r="X160">
        <v>0</v>
      </c>
      <c r="Y160">
        <v>20</v>
      </c>
      <c r="Z160">
        <v>13</v>
      </c>
      <c r="AA160">
        <v>0</v>
      </c>
      <c r="AB160">
        <v>0</v>
      </c>
      <c r="AC160">
        <v>14</v>
      </c>
      <c r="AD160">
        <v>13</v>
      </c>
      <c r="AG160" t="s">
        <v>258</v>
      </c>
      <c r="AH160" t="s">
        <v>435</v>
      </c>
      <c r="AI160">
        <v>198</v>
      </c>
      <c r="AJ160">
        <v>40</v>
      </c>
      <c r="AK160">
        <v>67</v>
      </c>
      <c r="AL160">
        <v>0</v>
      </c>
      <c r="AM160">
        <v>0</v>
      </c>
      <c r="AN160" t="s">
        <v>49</v>
      </c>
      <c r="AO160">
        <v>0.94285714285714284</v>
      </c>
      <c r="AP160">
        <v>88</v>
      </c>
    </row>
    <row r="161" spans="1:42" x14ac:dyDescent="0.35">
      <c r="A161">
        <v>97269</v>
      </c>
      <c r="B161">
        <v>8619</v>
      </c>
      <c r="C161">
        <v>950298</v>
      </c>
      <c r="D161">
        <v>403</v>
      </c>
      <c r="E161" s="147">
        <v>44207</v>
      </c>
      <c r="F161" t="s">
        <v>536</v>
      </c>
      <c r="G161" t="s">
        <v>147</v>
      </c>
      <c r="H161" s="147">
        <v>44208</v>
      </c>
      <c r="I161">
        <v>7</v>
      </c>
      <c r="J161" t="s">
        <v>199</v>
      </c>
      <c r="L161">
        <v>0</v>
      </c>
      <c r="M161">
        <v>0</v>
      </c>
      <c r="U161">
        <v>385</v>
      </c>
      <c r="V161">
        <v>304</v>
      </c>
      <c r="W161">
        <v>0</v>
      </c>
      <c r="X161">
        <v>0</v>
      </c>
      <c r="Y161">
        <v>23</v>
      </c>
      <c r="Z161">
        <v>15</v>
      </c>
      <c r="AA161">
        <v>0</v>
      </c>
      <c r="AB161">
        <v>0</v>
      </c>
      <c r="AC161">
        <v>1</v>
      </c>
      <c r="AD161">
        <v>1</v>
      </c>
      <c r="AG161" t="s">
        <v>255</v>
      </c>
      <c r="AH161" t="s">
        <v>435</v>
      </c>
      <c r="AI161">
        <v>151</v>
      </c>
      <c r="AJ161">
        <v>55</v>
      </c>
      <c r="AK161">
        <v>54</v>
      </c>
      <c r="AL161">
        <v>0</v>
      </c>
      <c r="AM161">
        <v>0</v>
      </c>
      <c r="AN161" t="s">
        <v>49</v>
      </c>
      <c r="AO161">
        <v>0.78961038961038965</v>
      </c>
      <c r="AP161">
        <v>93</v>
      </c>
    </row>
    <row r="162" spans="1:42" x14ac:dyDescent="0.35">
      <c r="A162">
        <v>97276</v>
      </c>
      <c r="B162">
        <v>8619</v>
      </c>
      <c r="C162">
        <v>950305</v>
      </c>
      <c r="D162">
        <v>512</v>
      </c>
      <c r="E162" s="147">
        <v>44207</v>
      </c>
      <c r="F162" t="s">
        <v>523</v>
      </c>
      <c r="G162" t="s">
        <v>75</v>
      </c>
      <c r="H162" s="147">
        <v>44208</v>
      </c>
      <c r="I162">
        <v>7</v>
      </c>
      <c r="J162" t="s">
        <v>199</v>
      </c>
      <c r="L162">
        <v>0</v>
      </c>
      <c r="M162">
        <v>0</v>
      </c>
      <c r="U162">
        <v>410</v>
      </c>
      <c r="V162">
        <v>386</v>
      </c>
      <c r="W162">
        <v>0</v>
      </c>
      <c r="X162">
        <v>0</v>
      </c>
      <c r="Y162">
        <v>25</v>
      </c>
      <c r="Z162">
        <v>25</v>
      </c>
      <c r="AA162">
        <v>0</v>
      </c>
      <c r="AB162">
        <v>0</v>
      </c>
      <c r="AC162">
        <v>8</v>
      </c>
      <c r="AD162">
        <v>8</v>
      </c>
      <c r="AG162" t="s">
        <v>223</v>
      </c>
      <c r="AH162" t="s">
        <v>435</v>
      </c>
      <c r="AI162">
        <v>144</v>
      </c>
      <c r="AJ162">
        <v>45</v>
      </c>
      <c r="AK162">
        <v>80</v>
      </c>
      <c r="AL162">
        <v>0</v>
      </c>
      <c r="AM162">
        <v>0</v>
      </c>
      <c r="AN162" t="s">
        <v>49</v>
      </c>
      <c r="AO162">
        <v>0.94146341463414629</v>
      </c>
      <c r="AP162">
        <v>75</v>
      </c>
    </row>
    <row r="163" spans="1:42" x14ac:dyDescent="0.35">
      <c r="A163">
        <v>97289</v>
      </c>
      <c r="B163">
        <v>8619</v>
      </c>
      <c r="C163">
        <v>950318</v>
      </c>
      <c r="D163">
        <v>456</v>
      </c>
      <c r="E163" s="147">
        <v>44207</v>
      </c>
      <c r="F163" t="s">
        <v>533</v>
      </c>
      <c r="G163" t="s">
        <v>146</v>
      </c>
      <c r="H163" s="147">
        <v>44208</v>
      </c>
      <c r="I163">
        <v>7</v>
      </c>
      <c r="J163" t="s">
        <v>199</v>
      </c>
      <c r="L163">
        <v>0</v>
      </c>
      <c r="M163">
        <v>0</v>
      </c>
      <c r="U163">
        <v>582</v>
      </c>
      <c r="V163">
        <v>566</v>
      </c>
      <c r="W163">
        <v>0</v>
      </c>
      <c r="X163">
        <v>0</v>
      </c>
      <c r="Y163">
        <v>30</v>
      </c>
      <c r="Z163">
        <v>30</v>
      </c>
      <c r="AA163">
        <v>0</v>
      </c>
      <c r="AB163">
        <v>0</v>
      </c>
      <c r="AC163">
        <v>23</v>
      </c>
      <c r="AD163">
        <v>11</v>
      </c>
      <c r="AG163" t="s">
        <v>223</v>
      </c>
      <c r="AH163" t="s">
        <v>435</v>
      </c>
      <c r="AI163">
        <v>271</v>
      </c>
      <c r="AJ163">
        <v>89</v>
      </c>
      <c r="AK163">
        <v>106</v>
      </c>
      <c r="AL163">
        <v>0</v>
      </c>
      <c r="AM163">
        <v>0</v>
      </c>
      <c r="AN163" t="s">
        <v>49</v>
      </c>
      <c r="AO163">
        <v>0.97250859106529208</v>
      </c>
      <c r="AP163">
        <v>153</v>
      </c>
    </row>
    <row r="164" spans="1:42" x14ac:dyDescent="0.35">
      <c r="A164">
        <v>97301</v>
      </c>
      <c r="B164">
        <v>8619</v>
      </c>
      <c r="C164">
        <v>950330</v>
      </c>
      <c r="D164">
        <v>365</v>
      </c>
      <c r="E164" s="147">
        <v>44207</v>
      </c>
      <c r="F164" t="s">
        <v>537</v>
      </c>
      <c r="G164" t="s">
        <v>436</v>
      </c>
      <c r="H164" s="147">
        <v>44208</v>
      </c>
      <c r="I164">
        <v>7</v>
      </c>
      <c r="J164" t="s">
        <v>199</v>
      </c>
      <c r="L164">
        <v>0</v>
      </c>
      <c r="M164">
        <v>0</v>
      </c>
      <c r="U164">
        <v>605</v>
      </c>
      <c r="V164">
        <v>549</v>
      </c>
      <c r="W164">
        <v>0</v>
      </c>
      <c r="X164">
        <v>0</v>
      </c>
      <c r="Y164">
        <v>20</v>
      </c>
      <c r="Z164">
        <v>19</v>
      </c>
      <c r="AA164">
        <v>0</v>
      </c>
      <c r="AB164">
        <v>0</v>
      </c>
      <c r="AC164">
        <v>8</v>
      </c>
      <c r="AD164">
        <v>4</v>
      </c>
      <c r="AG164" t="s">
        <v>224</v>
      </c>
      <c r="AH164" t="s">
        <v>435</v>
      </c>
      <c r="AI164">
        <v>235</v>
      </c>
      <c r="AJ164">
        <v>81</v>
      </c>
      <c r="AK164">
        <v>51</v>
      </c>
      <c r="AL164">
        <v>0</v>
      </c>
      <c r="AM164">
        <v>0</v>
      </c>
      <c r="AN164" t="s">
        <v>49</v>
      </c>
      <c r="AO164">
        <v>0.90743801652892564</v>
      </c>
      <c r="AP164">
        <v>135</v>
      </c>
    </row>
    <row r="165" spans="1:42" x14ac:dyDescent="0.35">
      <c r="A165">
        <v>97326</v>
      </c>
      <c r="B165">
        <v>8619</v>
      </c>
      <c r="C165">
        <v>950355</v>
      </c>
      <c r="D165">
        <v>432</v>
      </c>
      <c r="E165" s="147">
        <v>44207</v>
      </c>
      <c r="F165" t="s">
        <v>528</v>
      </c>
      <c r="G165" t="s">
        <v>100</v>
      </c>
      <c r="H165" s="147">
        <v>44209</v>
      </c>
      <c r="I165">
        <v>7</v>
      </c>
      <c r="J165" t="s">
        <v>200</v>
      </c>
      <c r="L165">
        <v>0</v>
      </c>
      <c r="M165">
        <v>0</v>
      </c>
      <c r="U165">
        <v>303</v>
      </c>
      <c r="V165">
        <v>267</v>
      </c>
      <c r="W165">
        <v>0</v>
      </c>
      <c r="X165">
        <v>0</v>
      </c>
      <c r="Y165">
        <v>26</v>
      </c>
      <c r="Z165">
        <v>25</v>
      </c>
      <c r="AA165">
        <v>0</v>
      </c>
      <c r="AB165">
        <v>0</v>
      </c>
      <c r="AC165">
        <v>24</v>
      </c>
      <c r="AD165">
        <v>19</v>
      </c>
      <c r="AG165" t="s">
        <v>1</v>
      </c>
      <c r="AH165" t="s">
        <v>435</v>
      </c>
      <c r="AI165">
        <v>76</v>
      </c>
      <c r="AJ165">
        <v>14</v>
      </c>
      <c r="AK165">
        <v>51</v>
      </c>
      <c r="AL165">
        <v>0</v>
      </c>
      <c r="AM165">
        <v>0</v>
      </c>
      <c r="AN165" t="s">
        <v>49</v>
      </c>
      <c r="AO165">
        <v>0.88118811881188119</v>
      </c>
      <c r="AP165">
        <v>31</v>
      </c>
    </row>
    <row r="166" spans="1:42" x14ac:dyDescent="0.35">
      <c r="A166">
        <v>97329</v>
      </c>
      <c r="B166">
        <v>8619</v>
      </c>
      <c r="C166">
        <v>950358</v>
      </c>
      <c r="D166">
        <v>316</v>
      </c>
      <c r="E166" s="147">
        <v>44207</v>
      </c>
      <c r="F166" t="s">
        <v>529</v>
      </c>
      <c r="G166" t="s">
        <v>106</v>
      </c>
      <c r="H166" s="147">
        <v>44209</v>
      </c>
      <c r="I166">
        <v>7</v>
      </c>
      <c r="J166" t="s">
        <v>200</v>
      </c>
      <c r="L166">
        <v>0</v>
      </c>
      <c r="M166">
        <v>0</v>
      </c>
      <c r="U166">
        <v>379</v>
      </c>
      <c r="V166">
        <v>334</v>
      </c>
      <c r="W166">
        <v>0</v>
      </c>
      <c r="X166">
        <v>0</v>
      </c>
      <c r="Y166">
        <v>23</v>
      </c>
      <c r="Z166">
        <v>22</v>
      </c>
      <c r="AA166">
        <v>0</v>
      </c>
      <c r="AB166">
        <v>0</v>
      </c>
      <c r="AC166">
        <v>9</v>
      </c>
      <c r="AD166">
        <v>9</v>
      </c>
      <c r="AG166" t="s">
        <v>1</v>
      </c>
      <c r="AH166" t="s">
        <v>435</v>
      </c>
      <c r="AI166">
        <v>150</v>
      </c>
      <c r="AJ166">
        <v>38</v>
      </c>
      <c r="AK166">
        <v>65</v>
      </c>
      <c r="AL166">
        <v>0</v>
      </c>
      <c r="AM166">
        <v>0</v>
      </c>
      <c r="AN166" t="s">
        <v>49</v>
      </c>
      <c r="AO166">
        <v>0.8812664907651715</v>
      </c>
      <c r="AP166">
        <v>69</v>
      </c>
    </row>
    <row r="167" spans="1:42" x14ac:dyDescent="0.35">
      <c r="A167">
        <v>97332</v>
      </c>
      <c r="B167">
        <v>8619</v>
      </c>
      <c r="C167">
        <v>950361</v>
      </c>
      <c r="D167">
        <v>313</v>
      </c>
      <c r="E167" s="147">
        <v>44207</v>
      </c>
      <c r="F167" t="s">
        <v>538</v>
      </c>
      <c r="G167" t="s">
        <v>118</v>
      </c>
      <c r="H167" s="147">
        <v>44209</v>
      </c>
      <c r="I167">
        <v>7</v>
      </c>
      <c r="J167" t="s">
        <v>200</v>
      </c>
      <c r="L167">
        <v>0</v>
      </c>
      <c r="M167">
        <v>0</v>
      </c>
      <c r="U167">
        <v>460</v>
      </c>
      <c r="V167">
        <v>434</v>
      </c>
      <c r="W167">
        <v>0</v>
      </c>
      <c r="X167">
        <v>0</v>
      </c>
      <c r="Y167">
        <v>20</v>
      </c>
      <c r="Z167">
        <v>19</v>
      </c>
      <c r="AA167">
        <v>0</v>
      </c>
      <c r="AB167">
        <v>0</v>
      </c>
      <c r="AC167">
        <v>6</v>
      </c>
      <c r="AD167">
        <v>6</v>
      </c>
      <c r="AG167" t="s">
        <v>1</v>
      </c>
      <c r="AH167" t="s">
        <v>435</v>
      </c>
      <c r="AI167">
        <v>201</v>
      </c>
      <c r="AJ167">
        <v>51</v>
      </c>
      <c r="AK167">
        <v>90</v>
      </c>
      <c r="AL167">
        <v>0</v>
      </c>
      <c r="AM167">
        <v>0</v>
      </c>
      <c r="AN167" t="s">
        <v>49</v>
      </c>
      <c r="AO167">
        <v>0.94347826086956521</v>
      </c>
      <c r="AP167">
        <v>91</v>
      </c>
    </row>
    <row r="168" spans="1:42" x14ac:dyDescent="0.35">
      <c r="A168">
        <v>97336</v>
      </c>
      <c r="B168">
        <v>8619</v>
      </c>
      <c r="C168">
        <v>950365</v>
      </c>
      <c r="D168">
        <v>444</v>
      </c>
      <c r="E168" s="147">
        <v>44207</v>
      </c>
      <c r="F168" t="s">
        <v>534</v>
      </c>
      <c r="G168" t="s">
        <v>156</v>
      </c>
      <c r="H168" s="147">
        <v>44209</v>
      </c>
      <c r="I168">
        <v>7</v>
      </c>
      <c r="J168" t="s">
        <v>200</v>
      </c>
      <c r="L168">
        <v>0</v>
      </c>
      <c r="M168">
        <v>0</v>
      </c>
      <c r="U168">
        <v>503</v>
      </c>
      <c r="V168">
        <v>467</v>
      </c>
      <c r="W168">
        <v>0</v>
      </c>
      <c r="X168">
        <v>0</v>
      </c>
      <c r="Y168">
        <v>115</v>
      </c>
      <c r="Z168">
        <v>104</v>
      </c>
      <c r="AA168">
        <v>0</v>
      </c>
      <c r="AB168">
        <v>0</v>
      </c>
      <c r="AC168">
        <v>32</v>
      </c>
      <c r="AD168">
        <v>20</v>
      </c>
      <c r="AG168" t="s">
        <v>1</v>
      </c>
      <c r="AH168" t="s">
        <v>435</v>
      </c>
      <c r="AI168">
        <v>219</v>
      </c>
      <c r="AJ168">
        <v>81</v>
      </c>
      <c r="AK168">
        <v>54</v>
      </c>
      <c r="AL168">
        <v>0</v>
      </c>
      <c r="AM168">
        <v>0</v>
      </c>
      <c r="AN168" t="s">
        <v>49</v>
      </c>
      <c r="AO168">
        <v>0.92842942345924451</v>
      </c>
      <c r="AP168">
        <v>117</v>
      </c>
    </row>
    <row r="169" spans="1:42" x14ac:dyDescent="0.35">
      <c r="A169">
        <v>97337</v>
      </c>
      <c r="B169">
        <v>8619</v>
      </c>
      <c r="C169">
        <v>950366</v>
      </c>
      <c r="D169">
        <v>390</v>
      </c>
      <c r="E169" s="147">
        <v>44207</v>
      </c>
      <c r="F169" t="s">
        <v>513</v>
      </c>
      <c r="G169" t="s">
        <v>167</v>
      </c>
      <c r="H169" s="147">
        <v>44209</v>
      </c>
      <c r="I169">
        <v>7</v>
      </c>
      <c r="J169" t="s">
        <v>200</v>
      </c>
      <c r="L169">
        <v>0</v>
      </c>
      <c r="M169">
        <v>0</v>
      </c>
      <c r="U169">
        <v>243</v>
      </c>
      <c r="V169">
        <v>230</v>
      </c>
      <c r="W169">
        <v>0</v>
      </c>
      <c r="X169">
        <v>0</v>
      </c>
      <c r="Y169">
        <v>13</v>
      </c>
      <c r="Z169">
        <v>13</v>
      </c>
      <c r="AA169">
        <v>0</v>
      </c>
      <c r="AB169">
        <v>0</v>
      </c>
      <c r="AC169">
        <v>6</v>
      </c>
      <c r="AD169">
        <v>4</v>
      </c>
      <c r="AG169" t="s">
        <v>1</v>
      </c>
      <c r="AH169" t="s">
        <v>435</v>
      </c>
      <c r="AI169">
        <v>87</v>
      </c>
      <c r="AJ169">
        <v>25</v>
      </c>
      <c r="AK169">
        <v>49</v>
      </c>
      <c r="AL169">
        <v>0</v>
      </c>
      <c r="AM169">
        <v>0</v>
      </c>
      <c r="AN169" t="s">
        <v>49</v>
      </c>
      <c r="AO169">
        <v>0.94650205761316875</v>
      </c>
      <c r="AP169">
        <v>41</v>
      </c>
    </row>
    <row r="170" spans="1:42" x14ac:dyDescent="0.35">
      <c r="A170">
        <v>97356</v>
      </c>
      <c r="B170">
        <v>8619</v>
      </c>
      <c r="C170">
        <v>950385</v>
      </c>
      <c r="D170">
        <v>320</v>
      </c>
      <c r="E170" s="147">
        <v>44207</v>
      </c>
      <c r="F170" t="s">
        <v>515</v>
      </c>
      <c r="G170" t="s">
        <v>163</v>
      </c>
      <c r="H170" s="147">
        <v>44209</v>
      </c>
      <c r="I170">
        <v>7</v>
      </c>
      <c r="J170" t="s">
        <v>200</v>
      </c>
      <c r="L170">
        <v>0</v>
      </c>
      <c r="M170">
        <v>0</v>
      </c>
      <c r="U170">
        <v>643</v>
      </c>
      <c r="V170">
        <v>540</v>
      </c>
      <c r="W170">
        <v>0</v>
      </c>
      <c r="X170">
        <v>0</v>
      </c>
      <c r="Y170">
        <v>29</v>
      </c>
      <c r="Z170">
        <v>29</v>
      </c>
      <c r="AA170">
        <v>0</v>
      </c>
      <c r="AB170">
        <v>0</v>
      </c>
      <c r="AC170">
        <v>2</v>
      </c>
      <c r="AD170">
        <v>2</v>
      </c>
      <c r="AG170" t="s">
        <v>226</v>
      </c>
      <c r="AH170" t="s">
        <v>435</v>
      </c>
      <c r="AI170">
        <v>57</v>
      </c>
      <c r="AJ170">
        <v>24</v>
      </c>
      <c r="AK170">
        <v>86</v>
      </c>
      <c r="AL170">
        <v>0</v>
      </c>
      <c r="AM170">
        <v>0</v>
      </c>
      <c r="AN170" t="s">
        <v>49</v>
      </c>
      <c r="AO170">
        <v>0.83981337480559881</v>
      </c>
      <c r="AP170">
        <v>34</v>
      </c>
    </row>
    <row r="171" spans="1:42" x14ac:dyDescent="0.35">
      <c r="A171">
        <v>97376</v>
      </c>
      <c r="B171">
        <v>8619</v>
      </c>
      <c r="C171">
        <v>950405</v>
      </c>
      <c r="D171">
        <v>458</v>
      </c>
      <c r="E171" s="147">
        <v>44207</v>
      </c>
      <c r="F171" t="s">
        <v>539</v>
      </c>
      <c r="G171" t="s">
        <v>140</v>
      </c>
      <c r="H171" s="147">
        <v>44209</v>
      </c>
      <c r="I171">
        <v>7</v>
      </c>
      <c r="J171" t="s">
        <v>200</v>
      </c>
      <c r="L171">
        <v>0</v>
      </c>
      <c r="M171">
        <v>0</v>
      </c>
      <c r="U171">
        <v>805</v>
      </c>
      <c r="V171">
        <v>668</v>
      </c>
      <c r="W171">
        <v>0</v>
      </c>
      <c r="X171">
        <v>0</v>
      </c>
      <c r="Y171">
        <v>72</v>
      </c>
      <c r="Z171">
        <v>59</v>
      </c>
      <c r="AA171">
        <v>0</v>
      </c>
      <c r="AB171">
        <v>0</v>
      </c>
      <c r="AC171">
        <v>15</v>
      </c>
      <c r="AD171">
        <v>8</v>
      </c>
      <c r="AG171" t="s">
        <v>258</v>
      </c>
      <c r="AH171" t="s">
        <v>435</v>
      </c>
      <c r="AI171">
        <v>343</v>
      </c>
      <c r="AJ171">
        <v>132</v>
      </c>
      <c r="AK171">
        <v>68</v>
      </c>
      <c r="AL171">
        <v>0</v>
      </c>
      <c r="AM171">
        <v>0</v>
      </c>
      <c r="AN171" t="s">
        <v>49</v>
      </c>
      <c r="AO171">
        <v>0.82981366459627326</v>
      </c>
      <c r="AP171">
        <v>211</v>
      </c>
    </row>
    <row r="172" spans="1:42" x14ac:dyDescent="0.35">
      <c r="A172">
        <v>97379</v>
      </c>
      <c r="B172">
        <v>8619</v>
      </c>
      <c r="C172">
        <v>950408</v>
      </c>
      <c r="D172">
        <v>355</v>
      </c>
      <c r="E172" s="147">
        <v>44207</v>
      </c>
      <c r="F172" t="s">
        <v>535</v>
      </c>
      <c r="G172" t="s">
        <v>152</v>
      </c>
      <c r="H172" s="147">
        <v>44209</v>
      </c>
      <c r="I172">
        <v>7</v>
      </c>
      <c r="J172" t="s">
        <v>200</v>
      </c>
      <c r="L172">
        <v>0</v>
      </c>
      <c r="M172">
        <v>0</v>
      </c>
      <c r="U172">
        <v>451</v>
      </c>
      <c r="V172">
        <v>429</v>
      </c>
      <c r="W172">
        <v>0</v>
      </c>
      <c r="X172">
        <v>0</v>
      </c>
      <c r="Y172">
        <v>20</v>
      </c>
      <c r="Z172">
        <v>14</v>
      </c>
      <c r="AA172">
        <v>0</v>
      </c>
      <c r="AB172">
        <v>0</v>
      </c>
      <c r="AC172">
        <v>14</v>
      </c>
      <c r="AD172">
        <v>10</v>
      </c>
      <c r="AG172" t="s">
        <v>258</v>
      </c>
      <c r="AH172" t="s">
        <v>435</v>
      </c>
      <c r="AI172">
        <v>197</v>
      </c>
      <c r="AJ172">
        <v>45</v>
      </c>
      <c r="AK172">
        <v>53</v>
      </c>
      <c r="AL172">
        <v>0</v>
      </c>
      <c r="AM172">
        <v>0</v>
      </c>
      <c r="AN172" t="s">
        <v>49</v>
      </c>
      <c r="AO172">
        <v>0.95121951219512191</v>
      </c>
      <c r="AP172">
        <v>92</v>
      </c>
    </row>
    <row r="173" spans="1:42" x14ac:dyDescent="0.35">
      <c r="A173">
        <v>97407</v>
      </c>
      <c r="B173">
        <v>8619</v>
      </c>
      <c r="C173">
        <v>950436</v>
      </c>
      <c r="D173">
        <v>344</v>
      </c>
      <c r="E173" s="147">
        <v>44207</v>
      </c>
      <c r="F173" t="s">
        <v>540</v>
      </c>
      <c r="G173" t="s">
        <v>92</v>
      </c>
      <c r="H173" s="147">
        <v>44209</v>
      </c>
      <c r="I173">
        <v>7</v>
      </c>
      <c r="J173" t="s">
        <v>200</v>
      </c>
      <c r="L173">
        <v>0</v>
      </c>
      <c r="M173">
        <v>0</v>
      </c>
      <c r="U173">
        <v>1237</v>
      </c>
      <c r="V173">
        <v>1067</v>
      </c>
      <c r="W173">
        <v>0</v>
      </c>
      <c r="X173">
        <v>0</v>
      </c>
      <c r="Y173">
        <v>62</v>
      </c>
      <c r="Z173">
        <v>52</v>
      </c>
      <c r="AA173">
        <v>0</v>
      </c>
      <c r="AB173">
        <v>0</v>
      </c>
      <c r="AC173">
        <v>10</v>
      </c>
      <c r="AD173">
        <v>3</v>
      </c>
      <c r="AG173" t="s">
        <v>223</v>
      </c>
      <c r="AH173" t="s">
        <v>435</v>
      </c>
      <c r="AI173">
        <v>490</v>
      </c>
      <c r="AJ173">
        <v>123</v>
      </c>
      <c r="AK173">
        <v>177</v>
      </c>
      <c r="AL173">
        <v>0</v>
      </c>
      <c r="AM173">
        <v>0</v>
      </c>
      <c r="AN173" t="s">
        <v>49</v>
      </c>
      <c r="AO173">
        <v>0.86257073565076803</v>
      </c>
      <c r="AP173">
        <v>234</v>
      </c>
    </row>
    <row r="174" spans="1:42" x14ac:dyDescent="0.35">
      <c r="A174">
        <v>97415</v>
      </c>
      <c r="B174">
        <v>8619</v>
      </c>
      <c r="C174">
        <v>950444</v>
      </c>
      <c r="D174">
        <v>304</v>
      </c>
      <c r="E174" s="147">
        <v>44207</v>
      </c>
      <c r="F174" t="s">
        <v>532</v>
      </c>
      <c r="G174" t="s">
        <v>262</v>
      </c>
      <c r="H174" s="147">
        <v>44209</v>
      </c>
      <c r="I174">
        <v>7</v>
      </c>
      <c r="J174" t="s">
        <v>200</v>
      </c>
      <c r="L174">
        <v>0</v>
      </c>
      <c r="M174">
        <v>0</v>
      </c>
      <c r="U174">
        <v>419</v>
      </c>
      <c r="V174">
        <v>369</v>
      </c>
      <c r="W174">
        <v>0</v>
      </c>
      <c r="X174">
        <v>0</v>
      </c>
      <c r="Y174">
        <v>27</v>
      </c>
      <c r="Z174">
        <v>25</v>
      </c>
      <c r="AA174">
        <v>0</v>
      </c>
      <c r="AB174">
        <v>0</v>
      </c>
      <c r="AC174">
        <v>4</v>
      </c>
      <c r="AD174">
        <v>4</v>
      </c>
      <c r="AG174" t="s">
        <v>223</v>
      </c>
      <c r="AH174" t="s">
        <v>435</v>
      </c>
      <c r="AI174">
        <v>189</v>
      </c>
      <c r="AJ174">
        <v>54</v>
      </c>
      <c r="AK174">
        <v>33</v>
      </c>
      <c r="AL174">
        <v>0</v>
      </c>
      <c r="AM174">
        <v>0</v>
      </c>
      <c r="AN174" t="s">
        <v>49</v>
      </c>
      <c r="AO174">
        <v>0.88066825775656321</v>
      </c>
      <c r="AP174">
        <v>85</v>
      </c>
    </row>
    <row r="175" spans="1:42" x14ac:dyDescent="0.35">
      <c r="A175">
        <v>97416</v>
      </c>
      <c r="B175">
        <v>8619</v>
      </c>
      <c r="C175">
        <v>950445</v>
      </c>
      <c r="D175">
        <v>456</v>
      </c>
      <c r="E175" s="147">
        <v>44207</v>
      </c>
      <c r="F175" t="s">
        <v>533</v>
      </c>
      <c r="G175" t="s">
        <v>146</v>
      </c>
      <c r="H175" s="147">
        <v>44209</v>
      </c>
      <c r="I175">
        <v>7</v>
      </c>
      <c r="J175" t="s">
        <v>200</v>
      </c>
      <c r="L175">
        <v>0</v>
      </c>
      <c r="M175">
        <v>0</v>
      </c>
      <c r="U175">
        <v>585</v>
      </c>
      <c r="V175">
        <v>558</v>
      </c>
      <c r="W175">
        <v>0</v>
      </c>
      <c r="X175">
        <v>0</v>
      </c>
      <c r="Y175">
        <v>30</v>
      </c>
      <c r="Z175">
        <v>30</v>
      </c>
      <c r="AA175">
        <v>0</v>
      </c>
      <c r="AB175">
        <v>0</v>
      </c>
      <c r="AC175">
        <v>23</v>
      </c>
      <c r="AD175">
        <v>11</v>
      </c>
      <c r="AG175" t="s">
        <v>223</v>
      </c>
      <c r="AH175" t="s">
        <v>435</v>
      </c>
      <c r="AI175">
        <v>271</v>
      </c>
      <c r="AJ175">
        <v>86</v>
      </c>
      <c r="AK175">
        <v>87</v>
      </c>
      <c r="AL175">
        <v>0</v>
      </c>
      <c r="AM175">
        <v>0</v>
      </c>
      <c r="AN175" t="s">
        <v>49</v>
      </c>
      <c r="AO175">
        <v>0.9538461538461539</v>
      </c>
      <c r="AP175">
        <v>143</v>
      </c>
    </row>
    <row r="176" spans="1:42" x14ac:dyDescent="0.35">
      <c r="A176">
        <v>97422</v>
      </c>
      <c r="B176">
        <v>8619</v>
      </c>
      <c r="C176">
        <v>950451</v>
      </c>
      <c r="D176">
        <v>465</v>
      </c>
      <c r="E176" s="147">
        <v>44207</v>
      </c>
      <c r="F176" t="s">
        <v>541</v>
      </c>
      <c r="G176" t="s">
        <v>117</v>
      </c>
      <c r="H176" s="147">
        <v>44209</v>
      </c>
      <c r="I176">
        <v>7</v>
      </c>
      <c r="J176" t="s">
        <v>200</v>
      </c>
      <c r="L176">
        <v>0</v>
      </c>
      <c r="M176">
        <v>0</v>
      </c>
      <c r="U176">
        <v>834</v>
      </c>
      <c r="V176">
        <v>790</v>
      </c>
      <c r="W176">
        <v>0</v>
      </c>
      <c r="X176">
        <v>0</v>
      </c>
      <c r="Y176">
        <v>55</v>
      </c>
      <c r="Z176">
        <v>44</v>
      </c>
      <c r="AA176">
        <v>0</v>
      </c>
      <c r="AB176">
        <v>0</v>
      </c>
      <c r="AC176">
        <v>32</v>
      </c>
      <c r="AD176">
        <v>29</v>
      </c>
      <c r="AG176" t="s">
        <v>224</v>
      </c>
      <c r="AH176" t="s">
        <v>435</v>
      </c>
      <c r="AI176">
        <v>407</v>
      </c>
      <c r="AJ176">
        <v>156</v>
      </c>
      <c r="AK176">
        <v>89</v>
      </c>
      <c r="AL176">
        <v>0</v>
      </c>
      <c r="AM176">
        <v>0</v>
      </c>
      <c r="AN176" t="s">
        <v>49</v>
      </c>
      <c r="AO176">
        <v>0.94724220623501199</v>
      </c>
      <c r="AP176">
        <v>227</v>
      </c>
    </row>
    <row r="177" spans="1:42" x14ac:dyDescent="0.35">
      <c r="A177">
        <v>97453</v>
      </c>
      <c r="B177">
        <v>8619</v>
      </c>
      <c r="C177">
        <v>950482</v>
      </c>
      <c r="D177">
        <v>432</v>
      </c>
      <c r="E177" s="147">
        <v>44207</v>
      </c>
      <c r="F177" t="s">
        <v>528</v>
      </c>
      <c r="G177" t="s">
        <v>100</v>
      </c>
      <c r="H177" s="147">
        <v>44210</v>
      </c>
      <c r="I177">
        <v>7</v>
      </c>
      <c r="J177" t="s">
        <v>198</v>
      </c>
      <c r="L177">
        <v>0</v>
      </c>
      <c r="M177">
        <v>0</v>
      </c>
      <c r="U177">
        <v>304</v>
      </c>
      <c r="V177">
        <v>258</v>
      </c>
      <c r="W177">
        <v>0</v>
      </c>
      <c r="X177">
        <v>0</v>
      </c>
      <c r="Y177">
        <v>27</v>
      </c>
      <c r="Z177">
        <v>27</v>
      </c>
      <c r="AA177">
        <v>0</v>
      </c>
      <c r="AB177">
        <v>0</v>
      </c>
      <c r="AC177">
        <v>24</v>
      </c>
      <c r="AD177">
        <v>17</v>
      </c>
      <c r="AG177" t="s">
        <v>1</v>
      </c>
      <c r="AH177" t="s">
        <v>435</v>
      </c>
      <c r="AI177">
        <v>73</v>
      </c>
      <c r="AJ177">
        <v>16</v>
      </c>
      <c r="AK177">
        <v>52</v>
      </c>
      <c r="AL177">
        <v>0</v>
      </c>
      <c r="AM177">
        <v>0</v>
      </c>
      <c r="AN177" t="s">
        <v>49</v>
      </c>
      <c r="AO177">
        <v>0.84868421052631582</v>
      </c>
      <c r="AP177">
        <v>33</v>
      </c>
    </row>
    <row r="178" spans="1:42" x14ac:dyDescent="0.35">
      <c r="A178">
        <v>97459</v>
      </c>
      <c r="B178">
        <v>8619</v>
      </c>
      <c r="C178">
        <v>950488</v>
      </c>
      <c r="D178">
        <v>313</v>
      </c>
      <c r="E178" s="147">
        <v>44207</v>
      </c>
      <c r="F178" t="s">
        <v>538</v>
      </c>
      <c r="G178" t="s">
        <v>118</v>
      </c>
      <c r="H178" s="147">
        <v>44210</v>
      </c>
      <c r="I178">
        <v>7</v>
      </c>
      <c r="J178" t="s">
        <v>198</v>
      </c>
      <c r="L178">
        <v>0</v>
      </c>
      <c r="M178">
        <v>0</v>
      </c>
      <c r="U178">
        <v>461</v>
      </c>
      <c r="V178">
        <v>444</v>
      </c>
      <c r="W178">
        <v>0</v>
      </c>
      <c r="X178">
        <v>0</v>
      </c>
      <c r="Y178">
        <v>20</v>
      </c>
      <c r="Z178">
        <v>19</v>
      </c>
      <c r="AA178">
        <v>0</v>
      </c>
      <c r="AB178">
        <v>0</v>
      </c>
      <c r="AC178">
        <v>6</v>
      </c>
      <c r="AD178">
        <v>6</v>
      </c>
      <c r="AG178" t="s">
        <v>1</v>
      </c>
      <c r="AH178" t="s">
        <v>435</v>
      </c>
      <c r="AI178">
        <v>202</v>
      </c>
      <c r="AJ178">
        <v>49</v>
      </c>
      <c r="AK178">
        <v>83</v>
      </c>
      <c r="AL178">
        <v>0</v>
      </c>
      <c r="AM178">
        <v>0</v>
      </c>
      <c r="AN178" t="s">
        <v>49</v>
      </c>
      <c r="AO178">
        <v>0.96312364425162689</v>
      </c>
      <c r="AP178">
        <v>90</v>
      </c>
    </row>
    <row r="179" spans="1:42" x14ac:dyDescent="0.35">
      <c r="A179">
        <v>97463</v>
      </c>
      <c r="B179">
        <v>8619</v>
      </c>
      <c r="C179">
        <v>950492</v>
      </c>
      <c r="D179">
        <v>444</v>
      </c>
      <c r="E179" s="147">
        <v>44207</v>
      </c>
      <c r="F179" t="s">
        <v>534</v>
      </c>
      <c r="G179" t="s">
        <v>156</v>
      </c>
      <c r="H179" s="147">
        <v>44210</v>
      </c>
      <c r="I179">
        <v>7</v>
      </c>
      <c r="J179" t="s">
        <v>198</v>
      </c>
      <c r="L179">
        <v>0</v>
      </c>
      <c r="M179">
        <v>0</v>
      </c>
      <c r="U179">
        <v>498</v>
      </c>
      <c r="V179">
        <v>467</v>
      </c>
      <c r="W179">
        <v>0</v>
      </c>
      <c r="X179">
        <v>0</v>
      </c>
      <c r="Y179">
        <v>116</v>
      </c>
      <c r="Z179">
        <v>105</v>
      </c>
      <c r="AA179">
        <v>0</v>
      </c>
      <c r="AB179">
        <v>0</v>
      </c>
      <c r="AC179">
        <v>32</v>
      </c>
      <c r="AD179">
        <v>22</v>
      </c>
      <c r="AG179" t="s">
        <v>1</v>
      </c>
      <c r="AH179" t="s">
        <v>435</v>
      </c>
      <c r="AI179">
        <v>212</v>
      </c>
      <c r="AJ179">
        <v>78</v>
      </c>
      <c r="AK179">
        <v>55</v>
      </c>
      <c r="AL179">
        <v>0</v>
      </c>
      <c r="AM179">
        <v>0</v>
      </c>
      <c r="AN179" t="s">
        <v>49</v>
      </c>
      <c r="AO179">
        <v>0.93775100401606426</v>
      </c>
      <c r="AP179">
        <v>113</v>
      </c>
    </row>
    <row r="180" spans="1:42" x14ac:dyDescent="0.35">
      <c r="A180">
        <v>97464</v>
      </c>
      <c r="B180">
        <v>8619</v>
      </c>
      <c r="C180">
        <v>950493</v>
      </c>
      <c r="D180">
        <v>390</v>
      </c>
      <c r="E180" s="147">
        <v>44207</v>
      </c>
      <c r="F180" t="s">
        <v>513</v>
      </c>
      <c r="G180" t="s">
        <v>167</v>
      </c>
      <c r="H180" s="147">
        <v>44210</v>
      </c>
      <c r="I180">
        <v>7</v>
      </c>
      <c r="J180" t="s">
        <v>198</v>
      </c>
      <c r="L180">
        <v>0</v>
      </c>
      <c r="M180">
        <v>0</v>
      </c>
      <c r="U180">
        <v>243</v>
      </c>
      <c r="V180">
        <v>216</v>
      </c>
      <c r="W180">
        <v>0</v>
      </c>
      <c r="X180">
        <v>0</v>
      </c>
      <c r="Y180">
        <v>13</v>
      </c>
      <c r="Z180">
        <v>13</v>
      </c>
      <c r="AA180">
        <v>0</v>
      </c>
      <c r="AB180">
        <v>0</v>
      </c>
      <c r="AC180">
        <v>6</v>
      </c>
      <c r="AD180">
        <v>4</v>
      </c>
      <c r="AG180" t="s">
        <v>1</v>
      </c>
      <c r="AH180" t="s">
        <v>435</v>
      </c>
      <c r="AI180">
        <v>87</v>
      </c>
      <c r="AJ180">
        <v>25</v>
      </c>
      <c r="AK180">
        <v>50</v>
      </c>
      <c r="AL180">
        <v>0</v>
      </c>
      <c r="AM180">
        <v>0</v>
      </c>
      <c r="AN180" t="s">
        <v>49</v>
      </c>
      <c r="AO180">
        <v>0.88888888888888884</v>
      </c>
      <c r="AP180">
        <v>40</v>
      </c>
    </row>
    <row r="181" spans="1:42" x14ac:dyDescent="0.35">
      <c r="A181">
        <v>97483</v>
      </c>
      <c r="B181">
        <v>8619</v>
      </c>
      <c r="C181">
        <v>950512</v>
      </c>
      <c r="D181">
        <v>320</v>
      </c>
      <c r="E181" s="147">
        <v>44207</v>
      </c>
      <c r="F181" t="s">
        <v>515</v>
      </c>
      <c r="G181" t="s">
        <v>163</v>
      </c>
      <c r="H181" s="147">
        <v>44210</v>
      </c>
      <c r="I181">
        <v>7</v>
      </c>
      <c r="J181" t="s">
        <v>198</v>
      </c>
      <c r="L181">
        <v>0</v>
      </c>
      <c r="M181">
        <v>0</v>
      </c>
      <c r="U181">
        <v>653</v>
      </c>
      <c r="V181">
        <v>540</v>
      </c>
      <c r="W181">
        <v>0</v>
      </c>
      <c r="X181">
        <v>0</v>
      </c>
      <c r="Y181">
        <v>28</v>
      </c>
      <c r="Z181">
        <v>23</v>
      </c>
      <c r="AA181">
        <v>0</v>
      </c>
      <c r="AB181">
        <v>0</v>
      </c>
      <c r="AC181">
        <v>2</v>
      </c>
      <c r="AD181">
        <v>1</v>
      </c>
      <c r="AG181" t="s">
        <v>226</v>
      </c>
      <c r="AH181" t="s">
        <v>435</v>
      </c>
      <c r="AI181">
        <v>55</v>
      </c>
      <c r="AJ181">
        <v>18</v>
      </c>
      <c r="AK181">
        <v>99</v>
      </c>
      <c r="AL181">
        <v>0</v>
      </c>
      <c r="AM181">
        <v>0</v>
      </c>
      <c r="AN181" t="s">
        <v>49</v>
      </c>
      <c r="AO181">
        <v>0.82695252679938747</v>
      </c>
      <c r="AP181">
        <v>34</v>
      </c>
    </row>
    <row r="182" spans="1:42" x14ac:dyDescent="0.35">
      <c r="A182">
        <v>97489</v>
      </c>
      <c r="B182">
        <v>8619</v>
      </c>
      <c r="C182">
        <v>950518</v>
      </c>
      <c r="D182">
        <v>491</v>
      </c>
      <c r="E182" s="147">
        <v>44207</v>
      </c>
      <c r="F182" t="s">
        <v>531</v>
      </c>
      <c r="G182" t="s">
        <v>76</v>
      </c>
      <c r="H182" s="147">
        <v>44210</v>
      </c>
      <c r="I182">
        <v>7</v>
      </c>
      <c r="J182" t="s">
        <v>198</v>
      </c>
      <c r="L182">
        <v>0</v>
      </c>
      <c r="M182">
        <v>0</v>
      </c>
      <c r="U182">
        <v>563</v>
      </c>
      <c r="V182">
        <v>490</v>
      </c>
      <c r="W182">
        <v>0</v>
      </c>
      <c r="X182">
        <v>0</v>
      </c>
      <c r="Y182">
        <v>14</v>
      </c>
      <c r="Z182">
        <v>14</v>
      </c>
      <c r="AA182">
        <v>0</v>
      </c>
      <c r="AB182">
        <v>0</v>
      </c>
      <c r="AC182">
        <v>6</v>
      </c>
      <c r="AD182">
        <v>3</v>
      </c>
      <c r="AG182" t="s">
        <v>258</v>
      </c>
      <c r="AH182" t="s">
        <v>435</v>
      </c>
      <c r="AI182">
        <v>189</v>
      </c>
      <c r="AJ182">
        <v>39</v>
      </c>
      <c r="AK182">
        <v>31</v>
      </c>
      <c r="AL182">
        <v>0</v>
      </c>
      <c r="AM182">
        <v>0</v>
      </c>
      <c r="AN182" t="s">
        <v>49</v>
      </c>
      <c r="AO182">
        <v>0.87033747779751336</v>
      </c>
      <c r="AP182">
        <v>95</v>
      </c>
    </row>
    <row r="183" spans="1:42" x14ac:dyDescent="0.35">
      <c r="A183">
        <v>97543</v>
      </c>
      <c r="B183">
        <v>8619</v>
      </c>
      <c r="C183">
        <v>950572</v>
      </c>
      <c r="D183">
        <v>456</v>
      </c>
      <c r="E183" s="147">
        <v>44207</v>
      </c>
      <c r="F183" t="s">
        <v>533</v>
      </c>
      <c r="G183" t="s">
        <v>146</v>
      </c>
      <c r="H183" s="147">
        <v>44210</v>
      </c>
      <c r="I183">
        <v>7</v>
      </c>
      <c r="J183" t="s">
        <v>198</v>
      </c>
      <c r="L183">
        <v>0</v>
      </c>
      <c r="M183">
        <v>0</v>
      </c>
      <c r="U183">
        <v>578</v>
      </c>
      <c r="V183">
        <v>554</v>
      </c>
      <c r="W183">
        <v>0</v>
      </c>
      <c r="X183">
        <v>0</v>
      </c>
      <c r="Y183">
        <v>29</v>
      </c>
      <c r="Z183">
        <v>29</v>
      </c>
      <c r="AA183">
        <v>0</v>
      </c>
      <c r="AB183">
        <v>0</v>
      </c>
      <c r="AC183">
        <v>23</v>
      </c>
      <c r="AD183">
        <v>13</v>
      </c>
      <c r="AG183" t="s">
        <v>223</v>
      </c>
      <c r="AH183" t="s">
        <v>435</v>
      </c>
      <c r="AI183">
        <v>264</v>
      </c>
      <c r="AJ183">
        <v>89</v>
      </c>
      <c r="AK183">
        <v>112</v>
      </c>
      <c r="AL183">
        <v>0</v>
      </c>
      <c r="AM183">
        <v>0</v>
      </c>
      <c r="AN183" t="s">
        <v>49</v>
      </c>
      <c r="AO183">
        <v>0.95847750865051906</v>
      </c>
      <c r="AP183">
        <v>137</v>
      </c>
    </row>
    <row r="184" spans="1:42" x14ac:dyDescent="0.35">
      <c r="A184">
        <v>97549</v>
      </c>
      <c r="B184">
        <v>8619</v>
      </c>
      <c r="C184">
        <v>950578</v>
      </c>
      <c r="D184">
        <v>465</v>
      </c>
      <c r="E184" s="147">
        <v>44207</v>
      </c>
      <c r="F184" t="s">
        <v>541</v>
      </c>
      <c r="G184" t="s">
        <v>117</v>
      </c>
      <c r="H184" s="147">
        <v>44210</v>
      </c>
      <c r="I184">
        <v>7</v>
      </c>
      <c r="J184" t="s">
        <v>198</v>
      </c>
      <c r="L184">
        <v>0</v>
      </c>
      <c r="M184">
        <v>0</v>
      </c>
      <c r="U184">
        <v>810</v>
      </c>
      <c r="V184">
        <v>784</v>
      </c>
      <c r="W184">
        <v>0</v>
      </c>
      <c r="X184">
        <v>0</v>
      </c>
      <c r="Y184">
        <v>55</v>
      </c>
      <c r="Z184">
        <v>48</v>
      </c>
      <c r="AA184">
        <v>0</v>
      </c>
      <c r="AB184">
        <v>0</v>
      </c>
      <c r="AC184">
        <v>32</v>
      </c>
      <c r="AD184">
        <v>28</v>
      </c>
      <c r="AG184" t="s">
        <v>224</v>
      </c>
      <c r="AH184" t="s">
        <v>435</v>
      </c>
      <c r="AI184">
        <v>400</v>
      </c>
      <c r="AJ184">
        <v>153</v>
      </c>
      <c r="AK184">
        <v>96</v>
      </c>
      <c r="AL184">
        <v>0</v>
      </c>
      <c r="AM184">
        <v>0</v>
      </c>
      <c r="AN184" t="s">
        <v>49</v>
      </c>
      <c r="AO184">
        <v>0.96790123456790123</v>
      </c>
      <c r="AP184">
        <v>227</v>
      </c>
    </row>
    <row r="185" spans="1:42" x14ac:dyDescent="0.35">
      <c r="A185">
        <v>97552</v>
      </c>
      <c r="B185">
        <v>8619</v>
      </c>
      <c r="C185">
        <v>950581</v>
      </c>
      <c r="D185">
        <v>366</v>
      </c>
      <c r="E185" s="147">
        <v>44207</v>
      </c>
      <c r="F185" t="s">
        <v>524</v>
      </c>
      <c r="G185" t="s">
        <v>130</v>
      </c>
      <c r="H185" s="147">
        <v>44210</v>
      </c>
      <c r="I185">
        <v>7</v>
      </c>
      <c r="J185" t="s">
        <v>198</v>
      </c>
      <c r="L185">
        <v>0</v>
      </c>
      <c r="M185">
        <v>0</v>
      </c>
      <c r="U185">
        <v>778</v>
      </c>
      <c r="V185">
        <v>667</v>
      </c>
      <c r="W185">
        <v>0</v>
      </c>
      <c r="X185">
        <v>0</v>
      </c>
      <c r="Y185">
        <v>41</v>
      </c>
      <c r="Z185">
        <v>20</v>
      </c>
      <c r="AA185">
        <v>0</v>
      </c>
      <c r="AB185">
        <v>0</v>
      </c>
      <c r="AC185">
        <v>8</v>
      </c>
      <c r="AD185">
        <v>3</v>
      </c>
      <c r="AG185" t="s">
        <v>224</v>
      </c>
      <c r="AH185" t="s">
        <v>435</v>
      </c>
      <c r="AI185">
        <v>305</v>
      </c>
      <c r="AJ185">
        <v>101</v>
      </c>
      <c r="AK185">
        <v>73</v>
      </c>
      <c r="AL185">
        <v>0</v>
      </c>
      <c r="AM185">
        <v>0</v>
      </c>
      <c r="AN185" t="s">
        <v>49</v>
      </c>
      <c r="AO185">
        <v>0.85732647814910024</v>
      </c>
      <c r="AP185">
        <v>174</v>
      </c>
    </row>
    <row r="186" spans="1:42" x14ac:dyDescent="0.35">
      <c r="A186">
        <v>97580</v>
      </c>
      <c r="B186">
        <v>8619</v>
      </c>
      <c r="C186">
        <v>950609</v>
      </c>
      <c r="D186">
        <v>432</v>
      </c>
      <c r="E186" s="147">
        <v>44207</v>
      </c>
      <c r="F186" t="s">
        <v>528</v>
      </c>
      <c r="G186" t="s">
        <v>100</v>
      </c>
      <c r="H186" s="147">
        <v>44211</v>
      </c>
      <c r="I186">
        <v>7</v>
      </c>
      <c r="J186" t="s">
        <v>194</v>
      </c>
      <c r="L186">
        <v>0</v>
      </c>
      <c r="M186">
        <v>0</v>
      </c>
      <c r="U186">
        <v>302</v>
      </c>
      <c r="V186">
        <v>254</v>
      </c>
      <c r="W186">
        <v>0</v>
      </c>
      <c r="X186">
        <v>0</v>
      </c>
      <c r="Y186">
        <v>30</v>
      </c>
      <c r="Z186">
        <v>29</v>
      </c>
      <c r="AA186">
        <v>0</v>
      </c>
      <c r="AB186">
        <v>0</v>
      </c>
      <c r="AC186">
        <v>24</v>
      </c>
      <c r="AD186">
        <v>20</v>
      </c>
      <c r="AG186" t="s">
        <v>1</v>
      </c>
      <c r="AH186" t="s">
        <v>435</v>
      </c>
      <c r="AI186">
        <v>65</v>
      </c>
      <c r="AJ186">
        <v>15</v>
      </c>
      <c r="AK186">
        <v>56</v>
      </c>
      <c r="AL186">
        <v>0</v>
      </c>
      <c r="AM186">
        <v>0</v>
      </c>
      <c r="AN186" t="s">
        <v>49</v>
      </c>
      <c r="AO186">
        <v>0.84105960264900659</v>
      </c>
      <c r="AP186">
        <v>32</v>
      </c>
    </row>
    <row r="187" spans="1:42" x14ac:dyDescent="0.35">
      <c r="A187">
        <v>97583</v>
      </c>
      <c r="B187">
        <v>8619</v>
      </c>
      <c r="C187">
        <v>950612</v>
      </c>
      <c r="D187">
        <v>316</v>
      </c>
      <c r="E187" s="147">
        <v>44207</v>
      </c>
      <c r="F187" t="s">
        <v>529</v>
      </c>
      <c r="G187" t="s">
        <v>106</v>
      </c>
      <c r="H187" s="147">
        <v>44211</v>
      </c>
      <c r="I187">
        <v>7</v>
      </c>
      <c r="J187" t="s">
        <v>194</v>
      </c>
      <c r="L187">
        <v>0</v>
      </c>
      <c r="M187">
        <v>0</v>
      </c>
      <c r="U187">
        <v>373</v>
      </c>
      <c r="V187">
        <v>337</v>
      </c>
      <c r="W187">
        <v>0</v>
      </c>
      <c r="X187">
        <v>0</v>
      </c>
      <c r="Y187">
        <v>30</v>
      </c>
      <c r="Z187">
        <v>25</v>
      </c>
      <c r="AA187">
        <v>0</v>
      </c>
      <c r="AB187">
        <v>0</v>
      </c>
      <c r="AC187">
        <v>7</v>
      </c>
      <c r="AD187">
        <v>7</v>
      </c>
      <c r="AG187" t="s">
        <v>1</v>
      </c>
      <c r="AH187" t="s">
        <v>435</v>
      </c>
      <c r="AI187">
        <v>147</v>
      </c>
      <c r="AJ187">
        <v>34</v>
      </c>
      <c r="AK187">
        <v>58</v>
      </c>
      <c r="AL187">
        <v>0</v>
      </c>
      <c r="AM187">
        <v>0</v>
      </c>
      <c r="AN187" t="s">
        <v>49</v>
      </c>
      <c r="AO187">
        <v>0.90348525469168905</v>
      </c>
      <c r="AP187">
        <v>63</v>
      </c>
    </row>
    <row r="188" spans="1:42" x14ac:dyDescent="0.35">
      <c r="A188">
        <v>97586</v>
      </c>
      <c r="B188">
        <v>8619</v>
      </c>
      <c r="C188">
        <v>950615</v>
      </c>
      <c r="D188">
        <v>313</v>
      </c>
      <c r="E188" s="147">
        <v>44207</v>
      </c>
      <c r="F188" t="s">
        <v>538</v>
      </c>
      <c r="G188" t="s">
        <v>118</v>
      </c>
      <c r="H188" s="147">
        <v>44211</v>
      </c>
      <c r="I188">
        <v>7</v>
      </c>
      <c r="J188" t="s">
        <v>194</v>
      </c>
      <c r="L188">
        <v>0</v>
      </c>
      <c r="M188">
        <v>0</v>
      </c>
      <c r="U188">
        <v>462</v>
      </c>
      <c r="V188">
        <v>433</v>
      </c>
      <c r="W188">
        <v>0</v>
      </c>
      <c r="X188">
        <v>0</v>
      </c>
      <c r="Y188">
        <v>20</v>
      </c>
      <c r="Z188">
        <v>20</v>
      </c>
      <c r="AA188">
        <v>0</v>
      </c>
      <c r="AB188">
        <v>0</v>
      </c>
      <c r="AC188">
        <v>6</v>
      </c>
      <c r="AD188">
        <v>6</v>
      </c>
      <c r="AG188" t="s">
        <v>1</v>
      </c>
      <c r="AH188" t="s">
        <v>435</v>
      </c>
      <c r="AI188">
        <v>217</v>
      </c>
      <c r="AJ188">
        <v>50</v>
      </c>
      <c r="AK188">
        <v>92</v>
      </c>
      <c r="AL188">
        <v>0</v>
      </c>
      <c r="AM188">
        <v>0</v>
      </c>
      <c r="AN188" t="s">
        <v>49</v>
      </c>
      <c r="AO188">
        <v>0.93722943722943719</v>
      </c>
      <c r="AP188">
        <v>104</v>
      </c>
    </row>
    <row r="189" spans="1:42" x14ac:dyDescent="0.35">
      <c r="A189">
        <v>97591</v>
      </c>
      <c r="B189">
        <v>8619</v>
      </c>
      <c r="C189">
        <v>950620</v>
      </c>
      <c r="D189">
        <v>390</v>
      </c>
      <c r="E189" s="147">
        <v>44207</v>
      </c>
      <c r="F189" t="s">
        <v>513</v>
      </c>
      <c r="G189" t="s">
        <v>167</v>
      </c>
      <c r="H189" s="147">
        <v>44211</v>
      </c>
      <c r="I189">
        <v>7</v>
      </c>
      <c r="J189" t="s">
        <v>194</v>
      </c>
      <c r="L189">
        <v>0</v>
      </c>
      <c r="M189">
        <v>0</v>
      </c>
      <c r="U189">
        <v>243</v>
      </c>
      <c r="V189">
        <v>231</v>
      </c>
      <c r="W189">
        <v>0</v>
      </c>
      <c r="X189">
        <v>0</v>
      </c>
      <c r="Y189">
        <v>13</v>
      </c>
      <c r="Z189">
        <v>13</v>
      </c>
      <c r="AA189">
        <v>0</v>
      </c>
      <c r="AB189">
        <v>0</v>
      </c>
      <c r="AC189">
        <v>6</v>
      </c>
      <c r="AD189">
        <v>4</v>
      </c>
      <c r="AG189" t="s">
        <v>1</v>
      </c>
      <c r="AH189" t="s">
        <v>435</v>
      </c>
      <c r="AI189">
        <v>81</v>
      </c>
      <c r="AJ189">
        <v>22</v>
      </c>
      <c r="AK189">
        <v>55</v>
      </c>
      <c r="AL189">
        <v>0</v>
      </c>
      <c r="AM189">
        <v>0</v>
      </c>
      <c r="AN189" t="s">
        <v>49</v>
      </c>
      <c r="AO189">
        <v>0.95061728395061729</v>
      </c>
      <c r="AP189">
        <v>39</v>
      </c>
    </row>
    <row r="190" spans="1:42" x14ac:dyDescent="0.35">
      <c r="A190">
        <v>97616</v>
      </c>
      <c r="B190">
        <v>8619</v>
      </c>
      <c r="C190">
        <v>950645</v>
      </c>
      <c r="D190">
        <v>491</v>
      </c>
      <c r="E190" s="147">
        <v>44207</v>
      </c>
      <c r="F190" t="s">
        <v>531</v>
      </c>
      <c r="G190" t="s">
        <v>76</v>
      </c>
      <c r="H190" s="147">
        <v>44211</v>
      </c>
      <c r="I190">
        <v>7</v>
      </c>
      <c r="J190" t="s">
        <v>194</v>
      </c>
      <c r="L190">
        <v>0</v>
      </c>
      <c r="M190">
        <v>0</v>
      </c>
      <c r="U190">
        <v>559</v>
      </c>
      <c r="V190">
        <v>510</v>
      </c>
      <c r="W190">
        <v>0</v>
      </c>
      <c r="X190">
        <v>0</v>
      </c>
      <c r="Y190">
        <v>14</v>
      </c>
      <c r="Z190">
        <v>14</v>
      </c>
      <c r="AA190">
        <v>0</v>
      </c>
      <c r="AB190">
        <v>0</v>
      </c>
      <c r="AC190">
        <v>6</v>
      </c>
      <c r="AD190">
        <v>3</v>
      </c>
      <c r="AG190" t="s">
        <v>258</v>
      </c>
      <c r="AH190" t="s">
        <v>435</v>
      </c>
      <c r="AI190">
        <v>213</v>
      </c>
      <c r="AJ190">
        <v>45</v>
      </c>
      <c r="AK190">
        <v>45</v>
      </c>
      <c r="AL190">
        <v>0</v>
      </c>
      <c r="AM190">
        <v>0</v>
      </c>
      <c r="AN190" t="s">
        <v>49</v>
      </c>
      <c r="AO190">
        <v>0.91234347048300535</v>
      </c>
      <c r="AP190">
        <v>100</v>
      </c>
    </row>
    <row r="191" spans="1:42" x14ac:dyDescent="0.35">
      <c r="A191">
        <v>97641</v>
      </c>
      <c r="B191">
        <v>8619</v>
      </c>
      <c r="C191">
        <v>950670</v>
      </c>
      <c r="D191">
        <v>510</v>
      </c>
      <c r="E191" s="147">
        <v>44207</v>
      </c>
      <c r="F191" t="s">
        <v>542</v>
      </c>
      <c r="G191" t="s">
        <v>107</v>
      </c>
      <c r="H191" s="147">
        <v>44211</v>
      </c>
      <c r="I191">
        <v>7</v>
      </c>
      <c r="J191" t="s">
        <v>194</v>
      </c>
      <c r="L191">
        <v>0</v>
      </c>
      <c r="M191">
        <v>0</v>
      </c>
      <c r="U191">
        <v>623</v>
      </c>
      <c r="V191">
        <v>552</v>
      </c>
      <c r="W191">
        <v>0</v>
      </c>
      <c r="X191">
        <v>0</v>
      </c>
      <c r="Y191">
        <v>38</v>
      </c>
      <c r="Z191">
        <v>38</v>
      </c>
      <c r="AA191">
        <v>0</v>
      </c>
      <c r="AB191">
        <v>0</v>
      </c>
      <c r="AC191">
        <v>28</v>
      </c>
      <c r="AD191">
        <v>13</v>
      </c>
      <c r="AG191" t="s">
        <v>255</v>
      </c>
      <c r="AH191" t="s">
        <v>435</v>
      </c>
      <c r="AI191">
        <v>369</v>
      </c>
      <c r="AJ191">
        <v>117</v>
      </c>
      <c r="AK191">
        <v>95</v>
      </c>
      <c r="AL191">
        <v>0</v>
      </c>
      <c r="AM191">
        <v>0</v>
      </c>
      <c r="AN191" t="s">
        <v>49</v>
      </c>
      <c r="AO191">
        <v>0.8860353130016051</v>
      </c>
      <c r="AP191">
        <v>195</v>
      </c>
    </row>
    <row r="192" spans="1:42" x14ac:dyDescent="0.35">
      <c r="A192">
        <v>97644</v>
      </c>
      <c r="B192">
        <v>8619</v>
      </c>
      <c r="C192">
        <v>950673</v>
      </c>
      <c r="D192">
        <v>325</v>
      </c>
      <c r="E192" s="147">
        <v>44207</v>
      </c>
      <c r="F192" t="s">
        <v>543</v>
      </c>
      <c r="G192" t="s">
        <v>113</v>
      </c>
      <c r="H192" s="147">
        <v>44211</v>
      </c>
      <c r="I192">
        <v>7</v>
      </c>
      <c r="J192" t="s">
        <v>194</v>
      </c>
      <c r="L192">
        <v>0</v>
      </c>
      <c r="M192">
        <v>0</v>
      </c>
      <c r="U192">
        <v>554</v>
      </c>
      <c r="V192">
        <v>488</v>
      </c>
      <c r="W192">
        <v>0</v>
      </c>
      <c r="X192">
        <v>0</v>
      </c>
      <c r="Y192">
        <v>18</v>
      </c>
      <c r="Z192">
        <v>17</v>
      </c>
      <c r="AA192">
        <v>0</v>
      </c>
      <c r="AB192">
        <v>0</v>
      </c>
      <c r="AC192">
        <v>8</v>
      </c>
      <c r="AD192">
        <v>8</v>
      </c>
      <c r="AG192" t="s">
        <v>255</v>
      </c>
      <c r="AH192" t="s">
        <v>435</v>
      </c>
      <c r="AI192">
        <v>219</v>
      </c>
      <c r="AJ192">
        <v>90</v>
      </c>
      <c r="AK192">
        <v>61</v>
      </c>
      <c r="AL192">
        <v>0</v>
      </c>
      <c r="AM192">
        <v>0</v>
      </c>
      <c r="AN192" t="s">
        <v>49</v>
      </c>
      <c r="AO192">
        <v>0.88086642599277976</v>
      </c>
      <c r="AP192">
        <v>150</v>
      </c>
    </row>
    <row r="193" spans="1:42" x14ac:dyDescent="0.35">
      <c r="A193">
        <v>97655</v>
      </c>
      <c r="B193">
        <v>8619</v>
      </c>
      <c r="C193">
        <v>950684</v>
      </c>
      <c r="D193">
        <v>455</v>
      </c>
      <c r="E193" s="147">
        <v>44207</v>
      </c>
      <c r="F193" t="s">
        <v>544</v>
      </c>
      <c r="G193" t="s">
        <v>66</v>
      </c>
      <c r="H193" s="147">
        <v>44211</v>
      </c>
      <c r="I193">
        <v>7</v>
      </c>
      <c r="J193" t="s">
        <v>194</v>
      </c>
      <c r="L193">
        <v>0</v>
      </c>
      <c r="M193">
        <v>0</v>
      </c>
      <c r="U193">
        <v>484</v>
      </c>
      <c r="V193">
        <v>407</v>
      </c>
      <c r="W193">
        <v>0</v>
      </c>
      <c r="X193">
        <v>0</v>
      </c>
      <c r="Y193">
        <v>34</v>
      </c>
      <c r="Z193">
        <v>28</v>
      </c>
      <c r="AA193">
        <v>0</v>
      </c>
      <c r="AB193">
        <v>0</v>
      </c>
      <c r="AC193">
        <v>8</v>
      </c>
      <c r="AD193">
        <v>2</v>
      </c>
      <c r="AG193" t="s">
        <v>223</v>
      </c>
      <c r="AH193" t="s">
        <v>435</v>
      </c>
      <c r="AI193">
        <v>187</v>
      </c>
      <c r="AJ193">
        <v>56</v>
      </c>
      <c r="AK193">
        <v>82</v>
      </c>
      <c r="AL193">
        <v>0</v>
      </c>
      <c r="AM193">
        <v>0</v>
      </c>
      <c r="AN193" t="s">
        <v>49</v>
      </c>
      <c r="AO193">
        <v>0.84090909090909094</v>
      </c>
      <c r="AP193">
        <v>76</v>
      </c>
    </row>
    <row r="194" spans="1:42" x14ac:dyDescent="0.35">
      <c r="A194">
        <v>97670</v>
      </c>
      <c r="B194">
        <v>8619</v>
      </c>
      <c r="C194">
        <v>950699</v>
      </c>
      <c r="D194">
        <v>456</v>
      </c>
      <c r="E194" s="147">
        <v>44207</v>
      </c>
      <c r="F194" t="s">
        <v>533</v>
      </c>
      <c r="G194" t="s">
        <v>146</v>
      </c>
      <c r="H194" s="147">
        <v>44211</v>
      </c>
      <c r="I194">
        <v>7</v>
      </c>
      <c r="J194" t="s">
        <v>194</v>
      </c>
      <c r="L194">
        <v>0</v>
      </c>
      <c r="M194">
        <v>0</v>
      </c>
      <c r="U194">
        <v>581</v>
      </c>
      <c r="V194">
        <v>550</v>
      </c>
      <c r="W194">
        <v>0</v>
      </c>
      <c r="X194">
        <v>0</v>
      </c>
      <c r="Y194">
        <v>29</v>
      </c>
      <c r="Z194">
        <v>28</v>
      </c>
      <c r="AA194">
        <v>0</v>
      </c>
      <c r="AB194">
        <v>0</v>
      </c>
      <c r="AC194">
        <v>23</v>
      </c>
      <c r="AD194">
        <v>13</v>
      </c>
      <c r="AG194" t="s">
        <v>223</v>
      </c>
      <c r="AH194" t="s">
        <v>435</v>
      </c>
      <c r="AI194">
        <v>260</v>
      </c>
      <c r="AJ194">
        <v>84</v>
      </c>
      <c r="AK194">
        <v>90</v>
      </c>
      <c r="AL194">
        <v>0</v>
      </c>
      <c r="AM194">
        <v>0</v>
      </c>
      <c r="AN194" t="s">
        <v>49</v>
      </c>
      <c r="AO194">
        <v>0.94664371772805511</v>
      </c>
      <c r="AP194">
        <v>128</v>
      </c>
    </row>
    <row r="195" spans="1:42" x14ac:dyDescent="0.35">
      <c r="A195">
        <v>97676</v>
      </c>
      <c r="B195">
        <v>8619</v>
      </c>
      <c r="C195">
        <v>950705</v>
      </c>
      <c r="D195">
        <v>465</v>
      </c>
      <c r="E195" s="147">
        <v>44207</v>
      </c>
      <c r="F195" t="s">
        <v>541</v>
      </c>
      <c r="G195" t="s">
        <v>117</v>
      </c>
      <c r="H195" s="147">
        <v>44211</v>
      </c>
      <c r="I195">
        <v>7</v>
      </c>
      <c r="J195" t="s">
        <v>194</v>
      </c>
      <c r="L195">
        <v>0</v>
      </c>
      <c r="M195">
        <v>0</v>
      </c>
      <c r="U195">
        <v>829</v>
      </c>
      <c r="V195">
        <v>777</v>
      </c>
      <c r="W195">
        <v>0</v>
      </c>
      <c r="X195">
        <v>0</v>
      </c>
      <c r="Y195">
        <v>55</v>
      </c>
      <c r="Z195">
        <v>50</v>
      </c>
      <c r="AA195">
        <v>0</v>
      </c>
      <c r="AB195">
        <v>0</v>
      </c>
      <c r="AC195">
        <v>32</v>
      </c>
      <c r="AD195">
        <v>29</v>
      </c>
      <c r="AG195" t="s">
        <v>224</v>
      </c>
      <c r="AH195" t="s">
        <v>435</v>
      </c>
      <c r="AI195">
        <v>398</v>
      </c>
      <c r="AJ195">
        <v>143</v>
      </c>
      <c r="AK195">
        <v>86</v>
      </c>
      <c r="AL195">
        <v>0</v>
      </c>
      <c r="AM195">
        <v>0</v>
      </c>
      <c r="AN195" t="s">
        <v>49</v>
      </c>
      <c r="AO195">
        <v>0.93727382388419778</v>
      </c>
      <c r="AP195">
        <v>211</v>
      </c>
    </row>
    <row r="196" spans="1:42" x14ac:dyDescent="0.35">
      <c r="A196">
        <v>97682</v>
      </c>
      <c r="B196">
        <v>8619</v>
      </c>
      <c r="C196">
        <v>950711</v>
      </c>
      <c r="D196">
        <v>365</v>
      </c>
      <c r="E196" s="147">
        <v>44207</v>
      </c>
      <c r="F196" t="s">
        <v>537</v>
      </c>
      <c r="G196" t="s">
        <v>436</v>
      </c>
      <c r="H196" s="147">
        <v>44211</v>
      </c>
      <c r="I196">
        <v>7</v>
      </c>
      <c r="J196" t="s">
        <v>194</v>
      </c>
      <c r="L196">
        <v>0</v>
      </c>
      <c r="M196">
        <v>0</v>
      </c>
      <c r="U196">
        <v>606</v>
      </c>
      <c r="V196">
        <v>541</v>
      </c>
      <c r="W196">
        <v>0</v>
      </c>
      <c r="X196">
        <v>0</v>
      </c>
      <c r="Y196">
        <v>21</v>
      </c>
      <c r="Z196">
        <v>19</v>
      </c>
      <c r="AA196">
        <v>0</v>
      </c>
      <c r="AB196">
        <v>0</v>
      </c>
      <c r="AC196">
        <v>8</v>
      </c>
      <c r="AD196">
        <v>4</v>
      </c>
      <c r="AG196" t="s">
        <v>224</v>
      </c>
      <c r="AH196" t="s">
        <v>435</v>
      </c>
      <c r="AI196">
        <v>224</v>
      </c>
      <c r="AJ196">
        <v>77</v>
      </c>
      <c r="AK196">
        <v>81</v>
      </c>
      <c r="AL196">
        <v>0</v>
      </c>
      <c r="AM196">
        <v>0</v>
      </c>
      <c r="AN196" t="s">
        <v>49</v>
      </c>
      <c r="AO196">
        <v>0.89273927392739272</v>
      </c>
      <c r="AP196">
        <v>118</v>
      </c>
    </row>
    <row r="197" spans="1:42" x14ac:dyDescent="0.35">
      <c r="A197">
        <v>97707</v>
      </c>
      <c r="B197">
        <v>8619</v>
      </c>
      <c r="C197">
        <v>950736</v>
      </c>
      <c r="D197">
        <v>432</v>
      </c>
      <c r="E197" s="147">
        <v>44207</v>
      </c>
      <c r="F197" t="s">
        <v>528</v>
      </c>
      <c r="G197" t="s">
        <v>100</v>
      </c>
      <c r="H197" s="147">
        <v>44212</v>
      </c>
      <c r="I197">
        <v>7</v>
      </c>
      <c r="J197" t="s">
        <v>196</v>
      </c>
      <c r="L197">
        <v>0</v>
      </c>
      <c r="M197">
        <v>0</v>
      </c>
      <c r="U197">
        <v>293</v>
      </c>
      <c r="V197">
        <v>233</v>
      </c>
      <c r="W197">
        <v>0</v>
      </c>
      <c r="X197">
        <v>0</v>
      </c>
      <c r="Y197">
        <v>29</v>
      </c>
      <c r="Z197">
        <v>27</v>
      </c>
      <c r="AA197">
        <v>0</v>
      </c>
      <c r="AB197">
        <v>0</v>
      </c>
      <c r="AC197">
        <v>24</v>
      </c>
      <c r="AD197">
        <v>21</v>
      </c>
      <c r="AG197" t="s">
        <v>1</v>
      </c>
      <c r="AH197" t="s">
        <v>435</v>
      </c>
      <c r="AI197">
        <v>69</v>
      </c>
      <c r="AJ197">
        <v>17</v>
      </c>
      <c r="AK197">
        <v>54</v>
      </c>
      <c r="AL197">
        <v>0</v>
      </c>
      <c r="AM197">
        <v>0</v>
      </c>
      <c r="AN197" t="s">
        <v>49</v>
      </c>
      <c r="AO197">
        <v>0.79522184300341292</v>
      </c>
      <c r="AP197">
        <v>38</v>
      </c>
    </row>
    <row r="198" spans="1:42" x14ac:dyDescent="0.35">
      <c r="A198">
        <v>97713</v>
      </c>
      <c r="B198">
        <v>8619</v>
      </c>
      <c r="C198">
        <v>950742</v>
      </c>
      <c r="D198">
        <v>313</v>
      </c>
      <c r="E198" s="147">
        <v>44207</v>
      </c>
      <c r="F198" t="s">
        <v>538</v>
      </c>
      <c r="G198" t="s">
        <v>118</v>
      </c>
      <c r="H198" s="147">
        <v>44212</v>
      </c>
      <c r="I198">
        <v>7</v>
      </c>
      <c r="J198" t="s">
        <v>196</v>
      </c>
      <c r="L198">
        <v>0</v>
      </c>
      <c r="M198">
        <v>0</v>
      </c>
      <c r="U198">
        <v>456</v>
      </c>
      <c r="V198">
        <v>428</v>
      </c>
      <c r="W198">
        <v>0</v>
      </c>
      <c r="X198">
        <v>0</v>
      </c>
      <c r="Y198">
        <v>20</v>
      </c>
      <c r="Z198">
        <v>20</v>
      </c>
      <c r="AA198">
        <v>0</v>
      </c>
      <c r="AB198">
        <v>0</v>
      </c>
      <c r="AC198">
        <v>6</v>
      </c>
      <c r="AD198">
        <v>6</v>
      </c>
      <c r="AG198" t="s">
        <v>1</v>
      </c>
      <c r="AH198" t="s">
        <v>435</v>
      </c>
      <c r="AI198">
        <v>195</v>
      </c>
      <c r="AJ198">
        <v>37</v>
      </c>
      <c r="AK198">
        <v>101</v>
      </c>
      <c r="AL198">
        <v>0</v>
      </c>
      <c r="AM198">
        <v>0</v>
      </c>
      <c r="AN198" t="s">
        <v>49</v>
      </c>
      <c r="AO198">
        <v>0.93859649122807021</v>
      </c>
      <c r="AP198">
        <v>87</v>
      </c>
    </row>
    <row r="199" spans="1:42" x14ac:dyDescent="0.35">
      <c r="A199">
        <v>97717</v>
      </c>
      <c r="B199">
        <v>8619</v>
      </c>
      <c r="C199">
        <v>950746</v>
      </c>
      <c r="D199">
        <v>444</v>
      </c>
      <c r="E199" s="147">
        <v>44207</v>
      </c>
      <c r="F199" t="s">
        <v>534</v>
      </c>
      <c r="G199" t="s">
        <v>156</v>
      </c>
      <c r="H199" s="147">
        <v>44212</v>
      </c>
      <c r="I199">
        <v>7</v>
      </c>
      <c r="J199" t="s">
        <v>196</v>
      </c>
      <c r="L199">
        <v>0</v>
      </c>
      <c r="M199">
        <v>0</v>
      </c>
      <c r="U199">
        <v>501</v>
      </c>
      <c r="V199">
        <v>481</v>
      </c>
      <c r="W199">
        <v>0</v>
      </c>
      <c r="X199">
        <v>0</v>
      </c>
      <c r="Y199">
        <v>118</v>
      </c>
      <c r="Z199">
        <v>109</v>
      </c>
      <c r="AA199">
        <v>0</v>
      </c>
      <c r="AB199">
        <v>0</v>
      </c>
      <c r="AC199">
        <v>32</v>
      </c>
      <c r="AD199">
        <v>23</v>
      </c>
      <c r="AG199" t="s">
        <v>1</v>
      </c>
      <c r="AH199" t="s">
        <v>435</v>
      </c>
      <c r="AI199">
        <v>185</v>
      </c>
      <c r="AJ199">
        <v>69</v>
      </c>
      <c r="AK199">
        <v>39</v>
      </c>
      <c r="AL199">
        <v>0</v>
      </c>
      <c r="AM199">
        <v>0</v>
      </c>
      <c r="AN199" t="s">
        <v>49</v>
      </c>
      <c r="AO199">
        <v>0.96007984031936133</v>
      </c>
      <c r="AP199">
        <v>107</v>
      </c>
    </row>
    <row r="200" spans="1:42" x14ac:dyDescent="0.35">
      <c r="A200">
        <v>97718</v>
      </c>
      <c r="B200">
        <v>8619</v>
      </c>
      <c r="C200">
        <v>950747</v>
      </c>
      <c r="D200">
        <v>390</v>
      </c>
      <c r="E200" s="147">
        <v>44207</v>
      </c>
      <c r="F200" t="s">
        <v>513</v>
      </c>
      <c r="G200" t="s">
        <v>167</v>
      </c>
      <c r="H200" s="147">
        <v>44212</v>
      </c>
      <c r="I200">
        <v>7</v>
      </c>
      <c r="J200" t="s">
        <v>196</v>
      </c>
      <c r="L200">
        <v>0</v>
      </c>
      <c r="M200">
        <v>0</v>
      </c>
      <c r="U200">
        <v>243</v>
      </c>
      <c r="V200">
        <v>207</v>
      </c>
      <c r="W200">
        <v>0</v>
      </c>
      <c r="X200">
        <v>0</v>
      </c>
      <c r="Y200">
        <v>15</v>
      </c>
      <c r="Z200">
        <v>15</v>
      </c>
      <c r="AA200">
        <v>0</v>
      </c>
      <c r="AB200">
        <v>0</v>
      </c>
      <c r="AC200">
        <v>6</v>
      </c>
      <c r="AD200">
        <v>4</v>
      </c>
      <c r="AG200" t="s">
        <v>1</v>
      </c>
      <c r="AH200" t="s">
        <v>435</v>
      </c>
      <c r="AI200">
        <v>79</v>
      </c>
      <c r="AJ200">
        <v>21</v>
      </c>
      <c r="AK200">
        <v>51</v>
      </c>
      <c r="AL200">
        <v>0</v>
      </c>
      <c r="AM200">
        <v>0</v>
      </c>
      <c r="AN200" t="s">
        <v>49</v>
      </c>
      <c r="AO200">
        <v>0.85185185185185186</v>
      </c>
      <c r="AP200">
        <v>37</v>
      </c>
    </row>
    <row r="201" spans="1:42" x14ac:dyDescent="0.35">
      <c r="A201">
        <v>97737</v>
      </c>
      <c r="B201">
        <v>8619</v>
      </c>
      <c r="C201">
        <v>950766</v>
      </c>
      <c r="D201">
        <v>320</v>
      </c>
      <c r="E201" s="147">
        <v>44207</v>
      </c>
      <c r="F201" t="s">
        <v>515</v>
      </c>
      <c r="G201" t="s">
        <v>163</v>
      </c>
      <c r="H201" s="147">
        <v>44212</v>
      </c>
      <c r="I201">
        <v>7</v>
      </c>
      <c r="J201" t="s">
        <v>196</v>
      </c>
      <c r="L201">
        <v>0</v>
      </c>
      <c r="M201">
        <v>0</v>
      </c>
      <c r="U201">
        <v>657</v>
      </c>
      <c r="V201">
        <v>542</v>
      </c>
      <c r="W201">
        <v>0</v>
      </c>
      <c r="X201">
        <v>0</v>
      </c>
      <c r="Y201">
        <v>28</v>
      </c>
      <c r="Z201">
        <v>22</v>
      </c>
      <c r="AA201">
        <v>0</v>
      </c>
      <c r="AB201">
        <v>0</v>
      </c>
      <c r="AC201">
        <v>3</v>
      </c>
      <c r="AD201">
        <v>3</v>
      </c>
      <c r="AG201" t="s">
        <v>226</v>
      </c>
      <c r="AH201" t="s">
        <v>435</v>
      </c>
      <c r="AI201">
        <v>52</v>
      </c>
      <c r="AJ201">
        <v>15</v>
      </c>
      <c r="AK201">
        <v>77</v>
      </c>
      <c r="AL201">
        <v>0</v>
      </c>
      <c r="AM201">
        <v>0</v>
      </c>
      <c r="AN201" t="s">
        <v>49</v>
      </c>
      <c r="AO201">
        <v>0.82496194824961944</v>
      </c>
      <c r="AP201">
        <v>28</v>
      </c>
    </row>
    <row r="202" spans="1:42" x14ac:dyDescent="0.35">
      <c r="A202">
        <v>97743</v>
      </c>
      <c r="B202">
        <v>8619</v>
      </c>
      <c r="C202">
        <v>950772</v>
      </c>
      <c r="D202">
        <v>491</v>
      </c>
      <c r="E202" s="147">
        <v>44207</v>
      </c>
      <c r="F202" t="s">
        <v>531</v>
      </c>
      <c r="G202" t="s">
        <v>76</v>
      </c>
      <c r="H202" s="147">
        <v>44212</v>
      </c>
      <c r="I202">
        <v>7</v>
      </c>
      <c r="J202" t="s">
        <v>196</v>
      </c>
      <c r="L202">
        <v>0</v>
      </c>
      <c r="M202">
        <v>0</v>
      </c>
      <c r="U202">
        <v>551</v>
      </c>
      <c r="V202">
        <v>485</v>
      </c>
      <c r="W202">
        <v>0</v>
      </c>
      <c r="X202">
        <v>0</v>
      </c>
      <c r="Y202">
        <v>14</v>
      </c>
      <c r="Z202">
        <v>14</v>
      </c>
      <c r="AA202">
        <v>0</v>
      </c>
      <c r="AB202">
        <v>0</v>
      </c>
      <c r="AC202">
        <v>6</v>
      </c>
      <c r="AD202">
        <v>4</v>
      </c>
      <c r="AG202" t="s">
        <v>258</v>
      </c>
      <c r="AH202" t="s">
        <v>435</v>
      </c>
      <c r="AI202">
        <v>211</v>
      </c>
      <c r="AJ202">
        <v>48</v>
      </c>
      <c r="AK202">
        <v>46</v>
      </c>
      <c r="AL202">
        <v>0</v>
      </c>
      <c r="AM202">
        <v>0</v>
      </c>
      <c r="AN202" t="s">
        <v>49</v>
      </c>
      <c r="AO202">
        <v>0.88021778584392019</v>
      </c>
      <c r="AP202">
        <v>94</v>
      </c>
    </row>
    <row r="203" spans="1:42" x14ac:dyDescent="0.35">
      <c r="A203">
        <v>97771</v>
      </c>
      <c r="B203">
        <v>8619</v>
      </c>
      <c r="C203">
        <v>950800</v>
      </c>
      <c r="D203">
        <v>325</v>
      </c>
      <c r="E203" s="147">
        <v>44207</v>
      </c>
      <c r="F203" t="s">
        <v>543</v>
      </c>
      <c r="G203" t="s">
        <v>113</v>
      </c>
      <c r="H203" s="147">
        <v>44212</v>
      </c>
      <c r="I203">
        <v>7</v>
      </c>
      <c r="J203" t="s">
        <v>196</v>
      </c>
      <c r="L203">
        <v>0</v>
      </c>
      <c r="M203">
        <v>0</v>
      </c>
      <c r="U203">
        <v>551</v>
      </c>
      <c r="V203">
        <v>469</v>
      </c>
      <c r="W203">
        <v>0</v>
      </c>
      <c r="X203">
        <v>0</v>
      </c>
      <c r="Y203">
        <v>18</v>
      </c>
      <c r="Z203">
        <v>17</v>
      </c>
      <c r="AA203">
        <v>0</v>
      </c>
      <c r="AB203">
        <v>0</v>
      </c>
      <c r="AC203">
        <v>8</v>
      </c>
      <c r="AD203">
        <v>8</v>
      </c>
      <c r="AG203" t="s">
        <v>255</v>
      </c>
      <c r="AH203" t="s">
        <v>435</v>
      </c>
      <c r="AI203">
        <v>211</v>
      </c>
      <c r="AJ203">
        <v>90</v>
      </c>
      <c r="AK203">
        <v>67</v>
      </c>
      <c r="AL203">
        <v>0</v>
      </c>
      <c r="AM203">
        <v>0</v>
      </c>
      <c r="AN203" t="s">
        <v>49</v>
      </c>
      <c r="AO203">
        <v>0.85117967332123412</v>
      </c>
      <c r="AP203">
        <v>137</v>
      </c>
    </row>
    <row r="204" spans="1:42" x14ac:dyDescent="0.35">
      <c r="A204">
        <v>97782</v>
      </c>
      <c r="B204">
        <v>8619</v>
      </c>
      <c r="C204">
        <v>950811</v>
      </c>
      <c r="D204">
        <v>455</v>
      </c>
      <c r="E204" s="147">
        <v>44207</v>
      </c>
      <c r="F204" t="s">
        <v>544</v>
      </c>
      <c r="G204" t="s">
        <v>66</v>
      </c>
      <c r="H204" s="147">
        <v>44212</v>
      </c>
      <c r="I204">
        <v>7</v>
      </c>
      <c r="J204" t="s">
        <v>196</v>
      </c>
      <c r="L204">
        <v>0</v>
      </c>
      <c r="M204">
        <v>0</v>
      </c>
      <c r="U204">
        <v>485</v>
      </c>
      <c r="V204">
        <v>416</v>
      </c>
      <c r="W204">
        <v>0</v>
      </c>
      <c r="X204">
        <v>0</v>
      </c>
      <c r="Y204">
        <v>34</v>
      </c>
      <c r="Z204">
        <v>30</v>
      </c>
      <c r="AA204">
        <v>0</v>
      </c>
      <c r="AB204">
        <v>0</v>
      </c>
      <c r="AC204">
        <v>8</v>
      </c>
      <c r="AD204">
        <v>3</v>
      </c>
      <c r="AG204" t="s">
        <v>223</v>
      </c>
      <c r="AH204" t="s">
        <v>435</v>
      </c>
      <c r="AI204">
        <v>187</v>
      </c>
      <c r="AJ204">
        <v>54</v>
      </c>
      <c r="AK204">
        <v>77</v>
      </c>
      <c r="AL204">
        <v>0</v>
      </c>
      <c r="AM204">
        <v>0</v>
      </c>
      <c r="AN204" t="s">
        <v>49</v>
      </c>
      <c r="AO204">
        <v>0.85773195876288655</v>
      </c>
      <c r="AP204">
        <v>81</v>
      </c>
    </row>
    <row r="205" spans="1:42" x14ac:dyDescent="0.35">
      <c r="A205">
        <v>97797</v>
      </c>
      <c r="B205">
        <v>8619</v>
      </c>
      <c r="C205">
        <v>950826</v>
      </c>
      <c r="D205">
        <v>456</v>
      </c>
      <c r="E205" s="147">
        <v>44207</v>
      </c>
      <c r="F205" t="s">
        <v>533</v>
      </c>
      <c r="G205" t="s">
        <v>146</v>
      </c>
      <c r="H205" s="147">
        <v>44212</v>
      </c>
      <c r="I205">
        <v>7</v>
      </c>
      <c r="J205" t="s">
        <v>196</v>
      </c>
      <c r="L205">
        <v>0</v>
      </c>
      <c r="M205">
        <v>0</v>
      </c>
      <c r="U205">
        <v>569</v>
      </c>
      <c r="V205">
        <v>532</v>
      </c>
      <c r="W205">
        <v>0</v>
      </c>
      <c r="X205">
        <v>0</v>
      </c>
      <c r="Y205">
        <v>28</v>
      </c>
      <c r="Z205">
        <v>28</v>
      </c>
      <c r="AA205">
        <v>0</v>
      </c>
      <c r="AB205">
        <v>0</v>
      </c>
      <c r="AC205">
        <v>23</v>
      </c>
      <c r="AD205">
        <v>9</v>
      </c>
      <c r="AG205" t="s">
        <v>223</v>
      </c>
      <c r="AH205" t="s">
        <v>435</v>
      </c>
      <c r="AI205">
        <v>247</v>
      </c>
      <c r="AJ205">
        <v>79</v>
      </c>
      <c r="AK205">
        <v>90</v>
      </c>
      <c r="AL205">
        <v>0</v>
      </c>
      <c r="AM205">
        <v>0</v>
      </c>
      <c r="AN205" t="s">
        <v>49</v>
      </c>
      <c r="AO205">
        <v>0.9349736379613357</v>
      </c>
      <c r="AP205">
        <v>124</v>
      </c>
    </row>
    <row r="206" spans="1:42" x14ac:dyDescent="0.35">
      <c r="A206">
        <v>97803</v>
      </c>
      <c r="B206">
        <v>8619</v>
      </c>
      <c r="C206">
        <v>950832</v>
      </c>
      <c r="D206">
        <v>465</v>
      </c>
      <c r="E206" s="147">
        <v>44207</v>
      </c>
      <c r="F206" t="s">
        <v>541</v>
      </c>
      <c r="G206" t="s">
        <v>117</v>
      </c>
      <c r="H206" s="147">
        <v>44212</v>
      </c>
      <c r="I206">
        <v>7</v>
      </c>
      <c r="J206" t="s">
        <v>196</v>
      </c>
      <c r="L206">
        <v>0</v>
      </c>
      <c r="M206">
        <v>0</v>
      </c>
      <c r="U206">
        <v>832</v>
      </c>
      <c r="V206">
        <v>748</v>
      </c>
      <c r="W206">
        <v>0</v>
      </c>
      <c r="X206">
        <v>0</v>
      </c>
      <c r="Y206">
        <v>55</v>
      </c>
      <c r="Z206">
        <v>51</v>
      </c>
      <c r="AA206">
        <v>0</v>
      </c>
      <c r="AB206">
        <v>0</v>
      </c>
      <c r="AC206">
        <v>32</v>
      </c>
      <c r="AD206">
        <v>30</v>
      </c>
      <c r="AG206" t="s">
        <v>224</v>
      </c>
      <c r="AH206" t="s">
        <v>435</v>
      </c>
      <c r="AI206">
        <v>366</v>
      </c>
      <c r="AJ206">
        <v>132</v>
      </c>
      <c r="AK206">
        <v>96</v>
      </c>
      <c r="AL206">
        <v>0</v>
      </c>
      <c r="AM206">
        <v>0</v>
      </c>
      <c r="AN206" t="s">
        <v>49</v>
      </c>
      <c r="AO206">
        <v>0.89903846153846156</v>
      </c>
      <c r="AP206">
        <v>199</v>
      </c>
    </row>
    <row r="207" spans="1:42" x14ac:dyDescent="0.35">
      <c r="A207">
        <v>97809</v>
      </c>
      <c r="B207">
        <v>8619</v>
      </c>
      <c r="C207">
        <v>950838</v>
      </c>
      <c r="D207">
        <v>365</v>
      </c>
      <c r="E207" s="147">
        <v>44207</v>
      </c>
      <c r="F207" t="s">
        <v>537</v>
      </c>
      <c r="G207" t="s">
        <v>436</v>
      </c>
      <c r="H207" s="147">
        <v>44212</v>
      </c>
      <c r="I207">
        <v>7</v>
      </c>
      <c r="J207" t="s">
        <v>196</v>
      </c>
      <c r="L207">
        <v>0</v>
      </c>
      <c r="M207">
        <v>0</v>
      </c>
      <c r="U207">
        <v>601</v>
      </c>
      <c r="V207">
        <v>491</v>
      </c>
      <c r="W207">
        <v>0</v>
      </c>
      <c r="X207">
        <v>0</v>
      </c>
      <c r="Y207">
        <v>24</v>
      </c>
      <c r="Z207">
        <v>20</v>
      </c>
      <c r="AA207">
        <v>0</v>
      </c>
      <c r="AB207">
        <v>0</v>
      </c>
      <c r="AC207">
        <v>8</v>
      </c>
      <c r="AD207">
        <v>4</v>
      </c>
      <c r="AG207" t="s">
        <v>224</v>
      </c>
      <c r="AH207" t="s">
        <v>435</v>
      </c>
      <c r="AI207">
        <v>229</v>
      </c>
      <c r="AJ207">
        <v>72</v>
      </c>
      <c r="AK207">
        <v>74</v>
      </c>
      <c r="AL207">
        <v>0</v>
      </c>
      <c r="AM207">
        <v>0</v>
      </c>
      <c r="AN207" t="s">
        <v>49</v>
      </c>
      <c r="AO207">
        <v>0.81697171381031619</v>
      </c>
      <c r="AP207">
        <v>119</v>
      </c>
    </row>
    <row r="208" spans="1:42" x14ac:dyDescent="0.35">
      <c r="A208">
        <v>97825</v>
      </c>
      <c r="B208">
        <v>8619</v>
      </c>
      <c r="C208">
        <v>950854</v>
      </c>
      <c r="D208">
        <v>336</v>
      </c>
      <c r="E208" s="147">
        <v>44207</v>
      </c>
      <c r="F208" t="s">
        <v>545</v>
      </c>
      <c r="G208" t="s">
        <v>263</v>
      </c>
      <c r="H208" s="147">
        <v>44213</v>
      </c>
      <c r="I208">
        <v>7</v>
      </c>
      <c r="J208" t="s">
        <v>197</v>
      </c>
      <c r="L208">
        <v>0</v>
      </c>
      <c r="M208">
        <v>0</v>
      </c>
      <c r="U208">
        <v>538</v>
      </c>
      <c r="V208">
        <v>472</v>
      </c>
      <c r="W208">
        <v>0</v>
      </c>
      <c r="X208">
        <v>0</v>
      </c>
      <c r="Y208">
        <v>16</v>
      </c>
      <c r="Z208">
        <v>14</v>
      </c>
      <c r="AA208">
        <v>0</v>
      </c>
      <c r="AB208">
        <v>0</v>
      </c>
      <c r="AC208">
        <v>3</v>
      </c>
      <c r="AD208">
        <v>2</v>
      </c>
      <c r="AG208" t="s">
        <v>291</v>
      </c>
      <c r="AH208" t="s">
        <v>435</v>
      </c>
      <c r="AI208">
        <v>215</v>
      </c>
      <c r="AJ208">
        <v>84</v>
      </c>
      <c r="AK208">
        <v>56</v>
      </c>
      <c r="AL208">
        <v>0</v>
      </c>
      <c r="AM208">
        <v>0</v>
      </c>
      <c r="AN208" t="s">
        <v>49</v>
      </c>
      <c r="AO208">
        <v>0.87732342007434949</v>
      </c>
      <c r="AP208">
        <v>134</v>
      </c>
    </row>
    <row r="209" spans="1:42" x14ac:dyDescent="0.35">
      <c r="A209">
        <v>97827</v>
      </c>
      <c r="B209">
        <v>8619</v>
      </c>
      <c r="C209">
        <v>950856</v>
      </c>
      <c r="D209">
        <v>363</v>
      </c>
      <c r="E209" s="147">
        <v>44207</v>
      </c>
      <c r="F209" t="s">
        <v>546</v>
      </c>
      <c r="G209" t="s">
        <v>165</v>
      </c>
      <c r="H209" s="147">
        <v>44213</v>
      </c>
      <c r="I209">
        <v>7</v>
      </c>
      <c r="J209" t="s">
        <v>197</v>
      </c>
      <c r="L209">
        <v>0</v>
      </c>
      <c r="M209">
        <v>0</v>
      </c>
      <c r="U209">
        <v>449</v>
      </c>
      <c r="V209">
        <v>364</v>
      </c>
      <c r="W209">
        <v>0</v>
      </c>
      <c r="X209">
        <v>0</v>
      </c>
      <c r="Y209">
        <v>20</v>
      </c>
      <c r="Z209">
        <v>18</v>
      </c>
      <c r="AA209">
        <v>0</v>
      </c>
      <c r="AB209">
        <v>0</v>
      </c>
      <c r="AC209">
        <v>12</v>
      </c>
      <c r="AD209">
        <v>8</v>
      </c>
      <c r="AG209" t="s">
        <v>291</v>
      </c>
      <c r="AH209" t="s">
        <v>435</v>
      </c>
      <c r="AI209">
        <v>211</v>
      </c>
      <c r="AJ209">
        <v>71</v>
      </c>
      <c r="AK209">
        <v>60</v>
      </c>
      <c r="AL209">
        <v>0</v>
      </c>
      <c r="AM209">
        <v>0</v>
      </c>
      <c r="AN209" t="s">
        <v>49</v>
      </c>
      <c r="AO209">
        <v>0.81069042316258355</v>
      </c>
      <c r="AP209">
        <v>115</v>
      </c>
    </row>
    <row r="210" spans="1:42" x14ac:dyDescent="0.35">
      <c r="A210">
        <v>97834</v>
      </c>
      <c r="B210">
        <v>8619</v>
      </c>
      <c r="C210">
        <v>950863</v>
      </c>
      <c r="D210">
        <v>432</v>
      </c>
      <c r="E210" s="147">
        <v>44207</v>
      </c>
      <c r="F210" t="s">
        <v>528</v>
      </c>
      <c r="G210" t="s">
        <v>100</v>
      </c>
      <c r="H210" s="147">
        <v>44213</v>
      </c>
      <c r="I210">
        <v>7</v>
      </c>
      <c r="J210" t="s">
        <v>197</v>
      </c>
      <c r="L210">
        <v>0</v>
      </c>
      <c r="M210">
        <v>0</v>
      </c>
      <c r="U210">
        <v>292</v>
      </c>
      <c r="V210">
        <v>242</v>
      </c>
      <c r="W210">
        <v>0</v>
      </c>
      <c r="X210">
        <v>0</v>
      </c>
      <c r="Y210">
        <v>29</v>
      </c>
      <c r="Z210">
        <v>27</v>
      </c>
      <c r="AA210">
        <v>0</v>
      </c>
      <c r="AB210">
        <v>0</v>
      </c>
      <c r="AC210">
        <v>24</v>
      </c>
      <c r="AD210">
        <v>21</v>
      </c>
      <c r="AG210" t="s">
        <v>1</v>
      </c>
      <c r="AH210" t="s">
        <v>435</v>
      </c>
      <c r="AI210">
        <v>74</v>
      </c>
      <c r="AJ210">
        <v>19</v>
      </c>
      <c r="AK210">
        <v>61</v>
      </c>
      <c r="AL210">
        <v>0</v>
      </c>
      <c r="AM210">
        <v>0</v>
      </c>
      <c r="AN210" t="s">
        <v>49</v>
      </c>
      <c r="AO210">
        <v>0.82876712328767121</v>
      </c>
      <c r="AP210">
        <v>39</v>
      </c>
    </row>
    <row r="211" spans="1:42" x14ac:dyDescent="0.35">
      <c r="A211">
        <v>97844</v>
      </c>
      <c r="B211">
        <v>8619</v>
      </c>
      <c r="C211">
        <v>950873</v>
      </c>
      <c r="D211">
        <v>444</v>
      </c>
      <c r="E211" s="147">
        <v>44207</v>
      </c>
      <c r="F211" t="s">
        <v>534</v>
      </c>
      <c r="G211" t="s">
        <v>156</v>
      </c>
      <c r="H211" s="147">
        <v>44213</v>
      </c>
      <c r="I211">
        <v>7</v>
      </c>
      <c r="J211" t="s">
        <v>197</v>
      </c>
      <c r="L211">
        <v>0</v>
      </c>
      <c r="M211">
        <v>0</v>
      </c>
      <c r="U211">
        <v>494</v>
      </c>
      <c r="V211">
        <v>469</v>
      </c>
      <c r="W211">
        <v>0</v>
      </c>
      <c r="X211">
        <v>0</v>
      </c>
      <c r="Y211">
        <v>118</v>
      </c>
      <c r="Z211">
        <v>104</v>
      </c>
      <c r="AA211">
        <v>0</v>
      </c>
      <c r="AB211">
        <v>0</v>
      </c>
      <c r="AC211">
        <v>32</v>
      </c>
      <c r="AD211">
        <v>23</v>
      </c>
      <c r="AG211" t="s">
        <v>1</v>
      </c>
      <c r="AH211" t="s">
        <v>435</v>
      </c>
      <c r="AI211">
        <v>183</v>
      </c>
      <c r="AJ211">
        <v>68</v>
      </c>
      <c r="AK211">
        <v>46</v>
      </c>
      <c r="AL211">
        <v>0</v>
      </c>
      <c r="AM211">
        <v>0</v>
      </c>
      <c r="AN211" t="s">
        <v>49</v>
      </c>
      <c r="AO211">
        <v>0.94939271255060731</v>
      </c>
      <c r="AP211">
        <v>113</v>
      </c>
    </row>
    <row r="212" spans="1:42" x14ac:dyDescent="0.35">
      <c r="A212">
        <v>97845</v>
      </c>
      <c r="B212">
        <v>8619</v>
      </c>
      <c r="C212">
        <v>950874</v>
      </c>
      <c r="D212">
        <v>390</v>
      </c>
      <c r="E212" s="147">
        <v>44207</v>
      </c>
      <c r="F212" t="s">
        <v>513</v>
      </c>
      <c r="G212" t="s">
        <v>167</v>
      </c>
      <c r="H212" s="147">
        <v>44213</v>
      </c>
      <c r="I212">
        <v>7</v>
      </c>
      <c r="J212" t="s">
        <v>197</v>
      </c>
      <c r="L212">
        <v>0</v>
      </c>
      <c r="M212">
        <v>0</v>
      </c>
      <c r="U212">
        <v>243</v>
      </c>
      <c r="V212">
        <v>204</v>
      </c>
      <c r="W212">
        <v>0</v>
      </c>
      <c r="X212">
        <v>0</v>
      </c>
      <c r="Y212">
        <v>15</v>
      </c>
      <c r="Z212">
        <v>15</v>
      </c>
      <c r="AA212">
        <v>0</v>
      </c>
      <c r="AB212">
        <v>0</v>
      </c>
      <c r="AC212">
        <v>6</v>
      </c>
      <c r="AD212">
        <v>4</v>
      </c>
      <c r="AG212" t="s">
        <v>1</v>
      </c>
      <c r="AH212" t="s">
        <v>435</v>
      </c>
      <c r="AI212">
        <v>80</v>
      </c>
      <c r="AJ212">
        <v>21</v>
      </c>
      <c r="AK212">
        <v>49</v>
      </c>
      <c r="AL212">
        <v>0</v>
      </c>
      <c r="AM212">
        <v>0</v>
      </c>
      <c r="AN212" t="s">
        <v>49</v>
      </c>
      <c r="AO212">
        <v>0.83950617283950613</v>
      </c>
      <c r="AP212">
        <v>37</v>
      </c>
    </row>
    <row r="213" spans="1:42" x14ac:dyDescent="0.35">
      <c r="A213">
        <v>97864</v>
      </c>
      <c r="B213">
        <v>8619</v>
      </c>
      <c r="C213">
        <v>950893</v>
      </c>
      <c r="D213">
        <v>320</v>
      </c>
      <c r="E213" s="147">
        <v>44207</v>
      </c>
      <c r="F213" t="s">
        <v>515</v>
      </c>
      <c r="G213" t="s">
        <v>163</v>
      </c>
      <c r="H213" s="147">
        <v>44213</v>
      </c>
      <c r="I213">
        <v>7</v>
      </c>
      <c r="J213" t="s">
        <v>197</v>
      </c>
      <c r="L213">
        <v>0</v>
      </c>
      <c r="M213">
        <v>0</v>
      </c>
      <c r="U213">
        <v>657</v>
      </c>
      <c r="V213">
        <v>533</v>
      </c>
      <c r="W213">
        <v>0</v>
      </c>
      <c r="X213">
        <v>0</v>
      </c>
      <c r="Y213">
        <v>28</v>
      </c>
      <c r="Z213">
        <v>22</v>
      </c>
      <c r="AA213">
        <v>0</v>
      </c>
      <c r="AB213">
        <v>0</v>
      </c>
      <c r="AC213">
        <v>3</v>
      </c>
      <c r="AD213">
        <v>2</v>
      </c>
      <c r="AG213" t="s">
        <v>226</v>
      </c>
      <c r="AH213" t="s">
        <v>435</v>
      </c>
      <c r="AI213">
        <v>37</v>
      </c>
      <c r="AJ213">
        <v>14</v>
      </c>
      <c r="AK213">
        <v>80</v>
      </c>
      <c r="AL213">
        <v>0</v>
      </c>
      <c r="AM213">
        <v>0</v>
      </c>
      <c r="AN213" t="s">
        <v>49</v>
      </c>
      <c r="AO213">
        <v>0.81126331811263319</v>
      </c>
      <c r="AP213">
        <v>20</v>
      </c>
    </row>
    <row r="214" spans="1:42" x14ac:dyDescent="0.35">
      <c r="A214">
        <v>97869</v>
      </c>
      <c r="B214">
        <v>8619</v>
      </c>
      <c r="C214">
        <v>950898</v>
      </c>
      <c r="D214">
        <v>309</v>
      </c>
      <c r="E214" s="147">
        <v>44207</v>
      </c>
      <c r="F214" t="s">
        <v>547</v>
      </c>
      <c r="G214" t="s">
        <v>73</v>
      </c>
      <c r="H214" s="147">
        <v>44213</v>
      </c>
      <c r="I214">
        <v>7</v>
      </c>
      <c r="J214" t="s">
        <v>197</v>
      </c>
      <c r="L214">
        <v>0</v>
      </c>
      <c r="M214">
        <v>0</v>
      </c>
      <c r="U214">
        <v>562</v>
      </c>
      <c r="V214">
        <v>490</v>
      </c>
      <c r="W214">
        <v>0</v>
      </c>
      <c r="X214">
        <v>0</v>
      </c>
      <c r="Y214">
        <v>18</v>
      </c>
      <c r="Z214">
        <v>17</v>
      </c>
      <c r="AA214">
        <v>0</v>
      </c>
      <c r="AB214">
        <v>0</v>
      </c>
      <c r="AC214">
        <v>8</v>
      </c>
      <c r="AD214">
        <v>5</v>
      </c>
      <c r="AG214" t="s">
        <v>258</v>
      </c>
      <c r="AH214" t="s">
        <v>435</v>
      </c>
      <c r="AI214">
        <v>226</v>
      </c>
      <c r="AJ214">
        <v>56</v>
      </c>
      <c r="AK214">
        <v>87</v>
      </c>
      <c r="AL214">
        <v>0</v>
      </c>
      <c r="AM214">
        <v>0</v>
      </c>
      <c r="AN214" t="s">
        <v>49</v>
      </c>
      <c r="AO214">
        <v>0.87188612099644125</v>
      </c>
      <c r="AP214">
        <v>96</v>
      </c>
    </row>
    <row r="215" spans="1:42" x14ac:dyDescent="0.35">
      <c r="A215">
        <v>97904</v>
      </c>
      <c r="B215">
        <v>8619</v>
      </c>
      <c r="C215">
        <v>950933</v>
      </c>
      <c r="D215">
        <v>403</v>
      </c>
      <c r="E215" s="147">
        <v>44207</v>
      </c>
      <c r="F215" t="s">
        <v>536</v>
      </c>
      <c r="G215" t="s">
        <v>147</v>
      </c>
      <c r="H215" s="147">
        <v>44213</v>
      </c>
      <c r="I215">
        <v>7</v>
      </c>
      <c r="J215" t="s">
        <v>197</v>
      </c>
      <c r="L215">
        <v>0</v>
      </c>
      <c r="M215">
        <v>0</v>
      </c>
      <c r="U215">
        <v>385</v>
      </c>
      <c r="V215">
        <v>302</v>
      </c>
      <c r="W215">
        <v>0</v>
      </c>
      <c r="X215">
        <v>0</v>
      </c>
      <c r="Y215">
        <v>23</v>
      </c>
      <c r="Z215">
        <v>15</v>
      </c>
      <c r="AA215">
        <v>0</v>
      </c>
      <c r="AB215">
        <v>0</v>
      </c>
      <c r="AC215">
        <v>1</v>
      </c>
      <c r="AD215">
        <v>1</v>
      </c>
      <c r="AG215" t="s">
        <v>255</v>
      </c>
      <c r="AH215" t="s">
        <v>435</v>
      </c>
      <c r="AI215">
        <v>141</v>
      </c>
      <c r="AJ215">
        <v>44</v>
      </c>
      <c r="AK215">
        <v>44</v>
      </c>
      <c r="AL215">
        <v>0</v>
      </c>
      <c r="AM215">
        <v>0</v>
      </c>
      <c r="AN215" t="s">
        <v>49</v>
      </c>
      <c r="AO215">
        <v>0.78441558441558445</v>
      </c>
      <c r="AP215">
        <v>69</v>
      </c>
    </row>
    <row r="216" spans="1:42" x14ac:dyDescent="0.35">
      <c r="A216">
        <v>97924</v>
      </c>
      <c r="B216">
        <v>8619</v>
      </c>
      <c r="C216">
        <v>950953</v>
      </c>
      <c r="D216">
        <v>456</v>
      </c>
      <c r="E216" s="147">
        <v>44207</v>
      </c>
      <c r="F216" t="s">
        <v>533</v>
      </c>
      <c r="G216" t="s">
        <v>146</v>
      </c>
      <c r="H216" s="147">
        <v>44213</v>
      </c>
      <c r="I216">
        <v>7</v>
      </c>
      <c r="J216" t="s">
        <v>197</v>
      </c>
      <c r="L216">
        <v>0</v>
      </c>
      <c r="M216">
        <v>0</v>
      </c>
      <c r="U216">
        <v>566</v>
      </c>
      <c r="V216">
        <v>534</v>
      </c>
      <c r="W216">
        <v>0</v>
      </c>
      <c r="X216">
        <v>0</v>
      </c>
      <c r="Y216">
        <v>31</v>
      </c>
      <c r="Z216">
        <v>28</v>
      </c>
      <c r="AA216">
        <v>0</v>
      </c>
      <c r="AB216">
        <v>0</v>
      </c>
      <c r="AC216">
        <v>23</v>
      </c>
      <c r="AD216">
        <v>9</v>
      </c>
      <c r="AG216" t="s">
        <v>223</v>
      </c>
      <c r="AH216" t="s">
        <v>435</v>
      </c>
      <c r="AI216">
        <v>244</v>
      </c>
      <c r="AJ216">
        <v>80</v>
      </c>
      <c r="AK216">
        <v>87</v>
      </c>
      <c r="AL216">
        <v>0</v>
      </c>
      <c r="AM216">
        <v>0</v>
      </c>
      <c r="AN216" t="s">
        <v>49</v>
      </c>
      <c r="AO216">
        <v>0.94346289752650181</v>
      </c>
      <c r="AP216">
        <v>123</v>
      </c>
    </row>
    <row r="217" spans="1:42" x14ac:dyDescent="0.35">
      <c r="A217">
        <v>97930</v>
      </c>
      <c r="B217">
        <v>8619</v>
      </c>
      <c r="C217">
        <v>950959</v>
      </c>
      <c r="D217">
        <v>465</v>
      </c>
      <c r="E217" s="147">
        <v>44207</v>
      </c>
      <c r="F217" t="s">
        <v>541</v>
      </c>
      <c r="G217" t="s">
        <v>117</v>
      </c>
      <c r="H217" s="147">
        <v>44213</v>
      </c>
      <c r="I217">
        <v>7</v>
      </c>
      <c r="J217" t="s">
        <v>197</v>
      </c>
      <c r="L217">
        <v>0</v>
      </c>
      <c r="M217">
        <v>0</v>
      </c>
      <c r="U217">
        <v>824</v>
      </c>
      <c r="V217">
        <v>735</v>
      </c>
      <c r="W217">
        <v>0</v>
      </c>
      <c r="X217">
        <v>0</v>
      </c>
      <c r="Y217">
        <v>55</v>
      </c>
      <c r="Z217">
        <v>48</v>
      </c>
      <c r="AA217">
        <v>0</v>
      </c>
      <c r="AB217">
        <v>0</v>
      </c>
      <c r="AC217">
        <v>32</v>
      </c>
      <c r="AD217">
        <v>29</v>
      </c>
      <c r="AG217" t="s">
        <v>224</v>
      </c>
      <c r="AH217" t="s">
        <v>435</v>
      </c>
      <c r="AI217">
        <v>364</v>
      </c>
      <c r="AJ217">
        <v>131</v>
      </c>
      <c r="AK217">
        <v>84</v>
      </c>
      <c r="AL217">
        <v>0</v>
      </c>
      <c r="AM217">
        <v>0</v>
      </c>
      <c r="AN217" t="s">
        <v>49</v>
      </c>
      <c r="AO217">
        <v>0.89199029126213591</v>
      </c>
      <c r="AP217">
        <v>202</v>
      </c>
    </row>
    <row r="218" spans="1:42" x14ac:dyDescent="0.35">
      <c r="A218">
        <v>97933</v>
      </c>
      <c r="B218">
        <v>8619</v>
      </c>
      <c r="C218">
        <v>950962</v>
      </c>
      <c r="D218">
        <v>366</v>
      </c>
      <c r="E218" s="147">
        <v>44207</v>
      </c>
      <c r="F218" t="s">
        <v>524</v>
      </c>
      <c r="G218" t="s">
        <v>130</v>
      </c>
      <c r="H218" s="147">
        <v>44213</v>
      </c>
      <c r="I218">
        <v>7</v>
      </c>
      <c r="J218" t="s">
        <v>197</v>
      </c>
      <c r="L218">
        <v>0</v>
      </c>
      <c r="M218">
        <v>0</v>
      </c>
      <c r="U218">
        <v>774</v>
      </c>
      <c r="V218">
        <v>657</v>
      </c>
      <c r="W218">
        <v>0</v>
      </c>
      <c r="X218">
        <v>0</v>
      </c>
      <c r="Y218">
        <v>41</v>
      </c>
      <c r="Z218">
        <v>18</v>
      </c>
      <c r="AA218">
        <v>0</v>
      </c>
      <c r="AB218">
        <v>0</v>
      </c>
      <c r="AC218">
        <v>8</v>
      </c>
      <c r="AD218">
        <v>2</v>
      </c>
      <c r="AG218" t="s">
        <v>224</v>
      </c>
      <c r="AH218" t="s">
        <v>435</v>
      </c>
      <c r="AI218">
        <v>286</v>
      </c>
      <c r="AJ218">
        <v>109</v>
      </c>
      <c r="AK218">
        <v>72</v>
      </c>
      <c r="AL218">
        <v>0</v>
      </c>
      <c r="AM218">
        <v>0</v>
      </c>
      <c r="AN218" t="s">
        <v>49</v>
      </c>
      <c r="AO218">
        <v>0.84883720930232553</v>
      </c>
      <c r="AP218">
        <v>160</v>
      </c>
    </row>
    <row r="219" spans="1:42" x14ac:dyDescent="0.35">
      <c r="A219">
        <v>97936</v>
      </c>
      <c r="B219">
        <v>8619</v>
      </c>
      <c r="C219">
        <v>950965</v>
      </c>
      <c r="D219">
        <v>365</v>
      </c>
      <c r="E219" s="147">
        <v>44207</v>
      </c>
      <c r="F219" t="s">
        <v>537</v>
      </c>
      <c r="G219" t="s">
        <v>436</v>
      </c>
      <c r="H219" s="147">
        <v>44213</v>
      </c>
      <c r="I219">
        <v>7</v>
      </c>
      <c r="J219" t="s">
        <v>197</v>
      </c>
      <c r="L219">
        <v>0</v>
      </c>
      <c r="M219">
        <v>0</v>
      </c>
      <c r="U219">
        <v>598</v>
      </c>
      <c r="V219">
        <v>516</v>
      </c>
      <c r="W219">
        <v>0</v>
      </c>
      <c r="X219">
        <v>0</v>
      </c>
      <c r="Y219">
        <v>24</v>
      </c>
      <c r="Z219">
        <v>19</v>
      </c>
      <c r="AA219">
        <v>0</v>
      </c>
      <c r="AB219">
        <v>0</v>
      </c>
      <c r="AC219">
        <v>8</v>
      </c>
      <c r="AD219">
        <v>4</v>
      </c>
      <c r="AG219" t="s">
        <v>224</v>
      </c>
      <c r="AH219" t="s">
        <v>435</v>
      </c>
      <c r="AI219">
        <v>227</v>
      </c>
      <c r="AJ219">
        <v>71</v>
      </c>
      <c r="AK219">
        <v>77</v>
      </c>
      <c r="AL219">
        <v>0</v>
      </c>
      <c r="AM219">
        <v>0</v>
      </c>
      <c r="AN219" t="s">
        <v>49</v>
      </c>
      <c r="AO219">
        <v>0.86287625418060199</v>
      </c>
      <c r="AP219">
        <v>123</v>
      </c>
    </row>
    <row r="220" spans="1:42" x14ac:dyDescent="0.35">
      <c r="A220">
        <v>97059</v>
      </c>
      <c r="B220">
        <v>8619</v>
      </c>
      <c r="C220">
        <v>950088</v>
      </c>
      <c r="D220">
        <v>340</v>
      </c>
      <c r="E220" s="147">
        <v>44207</v>
      </c>
      <c r="F220" t="s">
        <v>526</v>
      </c>
      <c r="G220" t="s">
        <v>115</v>
      </c>
      <c r="H220" s="147">
        <v>44207</v>
      </c>
      <c r="I220">
        <v>7</v>
      </c>
      <c r="J220" t="s">
        <v>195</v>
      </c>
      <c r="L220">
        <v>0</v>
      </c>
      <c r="M220">
        <v>0</v>
      </c>
      <c r="U220">
        <v>402</v>
      </c>
      <c r="V220">
        <v>389</v>
      </c>
      <c r="W220">
        <v>0</v>
      </c>
      <c r="X220">
        <v>0</v>
      </c>
      <c r="Y220">
        <v>24</v>
      </c>
      <c r="Z220">
        <v>24</v>
      </c>
      <c r="AA220">
        <v>0</v>
      </c>
      <c r="AB220">
        <v>0</v>
      </c>
      <c r="AC220">
        <v>4</v>
      </c>
      <c r="AD220">
        <v>2</v>
      </c>
      <c r="AG220" t="s">
        <v>291</v>
      </c>
      <c r="AH220" t="s">
        <v>435</v>
      </c>
      <c r="AI220">
        <v>171</v>
      </c>
      <c r="AJ220">
        <v>56</v>
      </c>
      <c r="AK220">
        <v>70</v>
      </c>
      <c r="AL220">
        <v>8</v>
      </c>
      <c r="AM220">
        <v>0</v>
      </c>
      <c r="AN220" t="s">
        <v>49</v>
      </c>
      <c r="AO220">
        <v>0.96766169154228854</v>
      </c>
      <c r="AP220">
        <v>95</v>
      </c>
    </row>
    <row r="221" spans="1:42" x14ac:dyDescent="0.35">
      <c r="A221">
        <v>97063</v>
      </c>
      <c r="B221">
        <v>8619</v>
      </c>
      <c r="C221">
        <v>950092</v>
      </c>
      <c r="D221">
        <v>336</v>
      </c>
      <c r="E221" s="147">
        <v>44207</v>
      </c>
      <c r="F221" t="s">
        <v>545</v>
      </c>
      <c r="G221" t="s">
        <v>263</v>
      </c>
      <c r="H221" s="147">
        <v>44207</v>
      </c>
      <c r="I221">
        <v>7</v>
      </c>
      <c r="J221" t="s">
        <v>195</v>
      </c>
      <c r="L221">
        <v>0</v>
      </c>
      <c r="M221">
        <v>0</v>
      </c>
      <c r="U221">
        <v>529</v>
      </c>
      <c r="V221">
        <v>480</v>
      </c>
      <c r="W221">
        <v>0</v>
      </c>
      <c r="X221">
        <v>0</v>
      </c>
      <c r="Y221">
        <v>15</v>
      </c>
      <c r="Z221">
        <v>12</v>
      </c>
      <c r="AA221">
        <v>0</v>
      </c>
      <c r="AB221">
        <v>0</v>
      </c>
      <c r="AC221">
        <v>3</v>
      </c>
      <c r="AD221">
        <v>2</v>
      </c>
      <c r="AG221" t="s">
        <v>291</v>
      </c>
      <c r="AH221" t="s">
        <v>435</v>
      </c>
      <c r="AI221">
        <v>245</v>
      </c>
      <c r="AJ221">
        <v>96</v>
      </c>
      <c r="AK221">
        <v>50</v>
      </c>
      <c r="AL221">
        <v>1</v>
      </c>
      <c r="AM221">
        <v>0</v>
      </c>
      <c r="AN221" t="s">
        <v>49</v>
      </c>
      <c r="AO221">
        <v>0.90737240075614367</v>
      </c>
      <c r="AP221">
        <v>146</v>
      </c>
    </row>
    <row r="222" spans="1:42" x14ac:dyDescent="0.35">
      <c r="A222">
        <v>97065</v>
      </c>
      <c r="B222">
        <v>8619</v>
      </c>
      <c r="C222">
        <v>950094</v>
      </c>
      <c r="D222">
        <v>363</v>
      </c>
      <c r="E222" s="147">
        <v>44207</v>
      </c>
      <c r="F222" t="s">
        <v>546</v>
      </c>
      <c r="G222" t="s">
        <v>165</v>
      </c>
      <c r="H222" s="147">
        <v>44207</v>
      </c>
      <c r="I222">
        <v>7</v>
      </c>
      <c r="J222" t="s">
        <v>195</v>
      </c>
      <c r="L222">
        <v>0</v>
      </c>
      <c r="M222">
        <v>0</v>
      </c>
      <c r="U222">
        <v>443</v>
      </c>
      <c r="V222">
        <v>383</v>
      </c>
      <c r="W222">
        <v>0</v>
      </c>
      <c r="X222">
        <v>0</v>
      </c>
      <c r="Y222">
        <v>20</v>
      </c>
      <c r="Z222">
        <v>16</v>
      </c>
      <c r="AA222">
        <v>0</v>
      </c>
      <c r="AB222">
        <v>0</v>
      </c>
      <c r="AC222">
        <v>12</v>
      </c>
      <c r="AD222">
        <v>5</v>
      </c>
      <c r="AG222" t="s">
        <v>291</v>
      </c>
      <c r="AH222" t="s">
        <v>435</v>
      </c>
      <c r="AI222">
        <v>224</v>
      </c>
      <c r="AJ222">
        <v>83</v>
      </c>
      <c r="AK222">
        <v>36</v>
      </c>
      <c r="AL222">
        <v>1</v>
      </c>
      <c r="AM222">
        <v>0</v>
      </c>
      <c r="AN222" t="s">
        <v>49</v>
      </c>
      <c r="AO222">
        <v>0.86455981941309257</v>
      </c>
      <c r="AP222">
        <v>126</v>
      </c>
    </row>
    <row r="223" spans="1:42" x14ac:dyDescent="0.35">
      <c r="A223">
        <v>97171</v>
      </c>
      <c r="B223">
        <v>8619</v>
      </c>
      <c r="C223">
        <v>950200</v>
      </c>
      <c r="D223">
        <v>366</v>
      </c>
      <c r="E223" s="147">
        <v>44207</v>
      </c>
      <c r="F223" t="s">
        <v>524</v>
      </c>
      <c r="G223" t="s">
        <v>130</v>
      </c>
      <c r="H223" s="147">
        <v>44207</v>
      </c>
      <c r="I223">
        <v>7</v>
      </c>
      <c r="J223" t="s">
        <v>195</v>
      </c>
      <c r="L223">
        <v>0</v>
      </c>
      <c r="M223">
        <v>0</v>
      </c>
      <c r="U223">
        <v>770</v>
      </c>
      <c r="V223">
        <v>666</v>
      </c>
      <c r="W223">
        <v>0</v>
      </c>
      <c r="X223">
        <v>0</v>
      </c>
      <c r="Y223">
        <v>41</v>
      </c>
      <c r="Z223">
        <v>29</v>
      </c>
      <c r="AA223">
        <v>0</v>
      </c>
      <c r="AB223">
        <v>0</v>
      </c>
      <c r="AC223">
        <v>8</v>
      </c>
      <c r="AD223">
        <v>2</v>
      </c>
      <c r="AG223" t="s">
        <v>224</v>
      </c>
      <c r="AH223" t="s">
        <v>435</v>
      </c>
      <c r="AI223">
        <v>313</v>
      </c>
      <c r="AJ223">
        <v>91</v>
      </c>
      <c r="AK223">
        <v>83</v>
      </c>
      <c r="AL223">
        <v>3</v>
      </c>
      <c r="AM223">
        <v>0</v>
      </c>
      <c r="AN223" t="s">
        <v>49</v>
      </c>
      <c r="AO223">
        <v>0.86493506493506489</v>
      </c>
      <c r="AP223">
        <v>181</v>
      </c>
    </row>
    <row r="224" spans="1:42" x14ac:dyDescent="0.35">
      <c r="A224">
        <v>97174</v>
      </c>
      <c r="B224">
        <v>8619</v>
      </c>
      <c r="C224">
        <v>950203</v>
      </c>
      <c r="D224">
        <v>365</v>
      </c>
      <c r="E224" s="147">
        <v>44207</v>
      </c>
      <c r="F224" t="s">
        <v>537</v>
      </c>
      <c r="G224" t="s">
        <v>436</v>
      </c>
      <c r="H224" s="147">
        <v>44207</v>
      </c>
      <c r="I224">
        <v>7</v>
      </c>
      <c r="J224" t="s">
        <v>195</v>
      </c>
      <c r="L224">
        <v>0</v>
      </c>
      <c r="M224">
        <v>0</v>
      </c>
      <c r="U224">
        <v>607</v>
      </c>
      <c r="V224">
        <v>543</v>
      </c>
      <c r="W224">
        <v>0</v>
      </c>
      <c r="X224">
        <v>0</v>
      </c>
      <c r="Y224">
        <v>21</v>
      </c>
      <c r="Z224">
        <v>17</v>
      </c>
      <c r="AA224">
        <v>0</v>
      </c>
      <c r="AB224">
        <v>0</v>
      </c>
      <c r="AC224">
        <v>8</v>
      </c>
      <c r="AD224">
        <v>5</v>
      </c>
      <c r="AG224" t="s">
        <v>224</v>
      </c>
      <c r="AH224" t="s">
        <v>435</v>
      </c>
      <c r="AI224">
        <v>231</v>
      </c>
      <c r="AJ224">
        <v>81</v>
      </c>
      <c r="AK224">
        <v>74</v>
      </c>
      <c r="AL224">
        <v>1</v>
      </c>
      <c r="AM224">
        <v>0</v>
      </c>
      <c r="AN224" t="s">
        <v>49</v>
      </c>
      <c r="AO224">
        <v>0.89456342668863265</v>
      </c>
      <c r="AP224">
        <v>131</v>
      </c>
    </row>
    <row r="225" spans="1:42" x14ac:dyDescent="0.35">
      <c r="A225">
        <v>97186</v>
      </c>
      <c r="B225">
        <v>8619</v>
      </c>
      <c r="C225">
        <v>950215</v>
      </c>
      <c r="D225">
        <v>340</v>
      </c>
      <c r="E225" s="147">
        <v>44207</v>
      </c>
      <c r="F225" t="s">
        <v>526</v>
      </c>
      <c r="G225" t="s">
        <v>115</v>
      </c>
      <c r="H225" s="147">
        <v>44208</v>
      </c>
      <c r="I225">
        <v>7</v>
      </c>
      <c r="J225" t="s">
        <v>199</v>
      </c>
      <c r="L225">
        <v>0</v>
      </c>
      <c r="M225">
        <v>0</v>
      </c>
      <c r="U225">
        <v>401</v>
      </c>
      <c r="V225">
        <v>390</v>
      </c>
      <c r="W225">
        <v>0</v>
      </c>
      <c r="X225">
        <v>0</v>
      </c>
      <c r="Y225">
        <v>25</v>
      </c>
      <c r="Z225">
        <v>25</v>
      </c>
      <c r="AA225">
        <v>0</v>
      </c>
      <c r="AB225">
        <v>0</v>
      </c>
      <c r="AC225">
        <v>4</v>
      </c>
      <c r="AD225">
        <v>2</v>
      </c>
      <c r="AG225" t="s">
        <v>291</v>
      </c>
      <c r="AH225" t="s">
        <v>435</v>
      </c>
      <c r="AI225">
        <v>172</v>
      </c>
      <c r="AJ225">
        <v>59</v>
      </c>
      <c r="AK225">
        <v>61</v>
      </c>
      <c r="AL225">
        <v>4</v>
      </c>
      <c r="AM225">
        <v>0</v>
      </c>
      <c r="AN225" t="s">
        <v>49</v>
      </c>
      <c r="AO225">
        <v>0.972568578553616</v>
      </c>
      <c r="AP225">
        <v>94</v>
      </c>
    </row>
    <row r="226" spans="1:42" x14ac:dyDescent="0.35">
      <c r="A226">
        <v>97190</v>
      </c>
      <c r="B226">
        <v>8619</v>
      </c>
      <c r="C226">
        <v>950219</v>
      </c>
      <c r="D226">
        <v>336</v>
      </c>
      <c r="E226" s="147">
        <v>44207</v>
      </c>
      <c r="F226" t="s">
        <v>545</v>
      </c>
      <c r="G226" t="s">
        <v>263</v>
      </c>
      <c r="H226" s="147">
        <v>44208</v>
      </c>
      <c r="I226">
        <v>7</v>
      </c>
      <c r="J226" t="s">
        <v>199</v>
      </c>
      <c r="L226">
        <v>0</v>
      </c>
      <c r="M226">
        <v>0</v>
      </c>
      <c r="U226">
        <v>542</v>
      </c>
      <c r="V226">
        <v>499</v>
      </c>
      <c r="W226">
        <v>0</v>
      </c>
      <c r="X226">
        <v>0</v>
      </c>
      <c r="Y226">
        <v>14</v>
      </c>
      <c r="Z226">
        <v>9</v>
      </c>
      <c r="AA226">
        <v>0</v>
      </c>
      <c r="AB226">
        <v>0</v>
      </c>
      <c r="AC226">
        <v>3</v>
      </c>
      <c r="AD226">
        <v>2</v>
      </c>
      <c r="AG226" t="s">
        <v>291</v>
      </c>
      <c r="AH226" t="s">
        <v>435</v>
      </c>
      <c r="AI226">
        <v>229</v>
      </c>
      <c r="AJ226">
        <v>95</v>
      </c>
      <c r="AK226">
        <v>53</v>
      </c>
      <c r="AL226">
        <v>2</v>
      </c>
      <c r="AM226">
        <v>0</v>
      </c>
      <c r="AN226" t="s">
        <v>49</v>
      </c>
      <c r="AO226">
        <v>0.92066420664206639</v>
      </c>
      <c r="AP226">
        <v>136</v>
      </c>
    </row>
    <row r="227" spans="1:42" x14ac:dyDescent="0.35">
      <c r="A227">
        <v>97202</v>
      </c>
      <c r="B227">
        <v>8619</v>
      </c>
      <c r="C227">
        <v>950231</v>
      </c>
      <c r="D227">
        <v>316</v>
      </c>
      <c r="E227" s="147">
        <v>44207</v>
      </c>
      <c r="F227" t="s">
        <v>529</v>
      </c>
      <c r="G227" t="s">
        <v>106</v>
      </c>
      <c r="H227" s="147">
        <v>44208</v>
      </c>
      <c r="I227">
        <v>7</v>
      </c>
      <c r="J227" t="s">
        <v>199</v>
      </c>
      <c r="L227">
        <v>0</v>
      </c>
      <c r="M227">
        <v>0</v>
      </c>
      <c r="U227">
        <v>379</v>
      </c>
      <c r="V227">
        <v>355</v>
      </c>
      <c r="W227">
        <v>0</v>
      </c>
      <c r="X227">
        <v>0</v>
      </c>
      <c r="Y227">
        <v>23</v>
      </c>
      <c r="Z227">
        <v>21</v>
      </c>
      <c r="AA227">
        <v>0</v>
      </c>
      <c r="AB227">
        <v>0</v>
      </c>
      <c r="AC227">
        <v>8</v>
      </c>
      <c r="AD227">
        <v>8</v>
      </c>
      <c r="AG227" t="s">
        <v>1</v>
      </c>
      <c r="AH227" t="s">
        <v>435</v>
      </c>
      <c r="AI227">
        <v>150</v>
      </c>
      <c r="AJ227">
        <v>41</v>
      </c>
      <c r="AK227">
        <v>67</v>
      </c>
      <c r="AL227">
        <v>1</v>
      </c>
      <c r="AM227">
        <v>0</v>
      </c>
      <c r="AN227" t="s">
        <v>49</v>
      </c>
      <c r="AO227">
        <v>0.9366754617414248</v>
      </c>
      <c r="AP227">
        <v>71</v>
      </c>
    </row>
    <row r="228" spans="1:42" x14ac:dyDescent="0.35">
      <c r="A228">
        <v>97298</v>
      </c>
      <c r="B228">
        <v>8619</v>
      </c>
      <c r="C228">
        <v>950327</v>
      </c>
      <c r="D228">
        <v>366</v>
      </c>
      <c r="E228" s="147">
        <v>44207</v>
      </c>
      <c r="F228" t="s">
        <v>524</v>
      </c>
      <c r="G228" t="s">
        <v>130</v>
      </c>
      <c r="H228" s="147">
        <v>44208</v>
      </c>
      <c r="I228">
        <v>7</v>
      </c>
      <c r="J228" t="s">
        <v>199</v>
      </c>
      <c r="L228">
        <v>0</v>
      </c>
      <c r="M228">
        <v>0</v>
      </c>
      <c r="U228">
        <v>762</v>
      </c>
      <c r="V228">
        <v>676</v>
      </c>
      <c r="W228">
        <v>0</v>
      </c>
      <c r="X228">
        <v>0</v>
      </c>
      <c r="Y228">
        <v>41</v>
      </c>
      <c r="Z228">
        <v>29</v>
      </c>
      <c r="AA228">
        <v>0</v>
      </c>
      <c r="AB228">
        <v>0</v>
      </c>
      <c r="AC228">
        <v>8</v>
      </c>
      <c r="AD228">
        <v>3</v>
      </c>
      <c r="AG228" t="s">
        <v>224</v>
      </c>
      <c r="AH228" t="s">
        <v>435</v>
      </c>
      <c r="AI228">
        <v>323</v>
      </c>
      <c r="AJ228">
        <v>96</v>
      </c>
      <c r="AK228">
        <v>85</v>
      </c>
      <c r="AL228">
        <v>1</v>
      </c>
      <c r="AM228">
        <v>0</v>
      </c>
      <c r="AN228" t="s">
        <v>49</v>
      </c>
      <c r="AO228">
        <v>0.88713910761154857</v>
      </c>
      <c r="AP228">
        <v>179</v>
      </c>
    </row>
    <row r="229" spans="1:42" x14ac:dyDescent="0.35">
      <c r="A229">
        <v>97313</v>
      </c>
      <c r="B229">
        <v>8619</v>
      </c>
      <c r="C229">
        <v>950342</v>
      </c>
      <c r="D229">
        <v>340</v>
      </c>
      <c r="E229" s="147">
        <v>44207</v>
      </c>
      <c r="F229" t="s">
        <v>526</v>
      </c>
      <c r="G229" t="s">
        <v>115</v>
      </c>
      <c r="H229" s="147">
        <v>44209</v>
      </c>
      <c r="I229">
        <v>7</v>
      </c>
      <c r="J229" t="s">
        <v>200</v>
      </c>
      <c r="L229">
        <v>0</v>
      </c>
      <c r="M229">
        <v>0</v>
      </c>
      <c r="U229">
        <v>401</v>
      </c>
      <c r="V229">
        <v>375</v>
      </c>
      <c r="W229">
        <v>0</v>
      </c>
      <c r="X229">
        <v>0</v>
      </c>
      <c r="Y229">
        <v>25</v>
      </c>
      <c r="Z229">
        <v>25</v>
      </c>
      <c r="AA229">
        <v>0</v>
      </c>
      <c r="AB229">
        <v>0</v>
      </c>
      <c r="AC229">
        <v>4</v>
      </c>
      <c r="AD229">
        <v>2</v>
      </c>
      <c r="AG229" t="s">
        <v>291</v>
      </c>
      <c r="AH229" t="s">
        <v>435</v>
      </c>
      <c r="AI229">
        <v>158</v>
      </c>
      <c r="AJ229">
        <v>52</v>
      </c>
      <c r="AK229">
        <v>51</v>
      </c>
      <c r="AL229">
        <v>4</v>
      </c>
      <c r="AM229">
        <v>0</v>
      </c>
      <c r="AN229" t="s">
        <v>49</v>
      </c>
      <c r="AO229">
        <v>0.93516209476309231</v>
      </c>
      <c r="AP229">
        <v>86</v>
      </c>
    </row>
    <row r="230" spans="1:42" x14ac:dyDescent="0.35">
      <c r="A230">
        <v>97317</v>
      </c>
      <c r="B230">
        <v>8619</v>
      </c>
      <c r="C230">
        <v>950346</v>
      </c>
      <c r="D230">
        <v>336</v>
      </c>
      <c r="E230" s="147">
        <v>44207</v>
      </c>
      <c r="F230" t="s">
        <v>545</v>
      </c>
      <c r="G230" t="s">
        <v>263</v>
      </c>
      <c r="H230" s="147">
        <v>44209</v>
      </c>
      <c r="I230">
        <v>7</v>
      </c>
      <c r="J230" t="s">
        <v>200</v>
      </c>
      <c r="L230">
        <v>0</v>
      </c>
      <c r="M230">
        <v>0</v>
      </c>
      <c r="U230">
        <v>543</v>
      </c>
      <c r="V230">
        <v>487</v>
      </c>
      <c r="W230">
        <v>0</v>
      </c>
      <c r="X230">
        <v>0</v>
      </c>
      <c r="Y230">
        <v>16</v>
      </c>
      <c r="Z230">
        <v>12</v>
      </c>
      <c r="AA230">
        <v>0</v>
      </c>
      <c r="AB230">
        <v>0</v>
      </c>
      <c r="AC230">
        <v>3</v>
      </c>
      <c r="AD230">
        <v>2</v>
      </c>
      <c r="AG230" t="s">
        <v>291</v>
      </c>
      <c r="AH230" t="s">
        <v>435</v>
      </c>
      <c r="AI230">
        <v>224</v>
      </c>
      <c r="AJ230">
        <v>94</v>
      </c>
      <c r="AK230">
        <v>55</v>
      </c>
      <c r="AL230">
        <v>4</v>
      </c>
      <c r="AM230">
        <v>0</v>
      </c>
      <c r="AN230" t="s">
        <v>49</v>
      </c>
      <c r="AO230">
        <v>0.89686924493554332</v>
      </c>
      <c r="AP230">
        <v>197</v>
      </c>
    </row>
    <row r="231" spans="1:42" x14ac:dyDescent="0.35">
      <c r="A231">
        <v>97319</v>
      </c>
      <c r="B231">
        <v>8619</v>
      </c>
      <c r="C231">
        <v>950348</v>
      </c>
      <c r="D231">
        <v>363</v>
      </c>
      <c r="E231" s="147">
        <v>44207</v>
      </c>
      <c r="F231" t="s">
        <v>546</v>
      </c>
      <c r="G231" t="s">
        <v>165</v>
      </c>
      <c r="H231" s="147">
        <v>44209</v>
      </c>
      <c r="I231">
        <v>7</v>
      </c>
      <c r="J231" t="s">
        <v>200</v>
      </c>
      <c r="L231">
        <v>0</v>
      </c>
      <c r="M231">
        <v>0</v>
      </c>
      <c r="U231">
        <v>458</v>
      </c>
      <c r="V231">
        <v>369</v>
      </c>
      <c r="W231">
        <v>0</v>
      </c>
      <c r="X231">
        <v>0</v>
      </c>
      <c r="Y231">
        <v>20</v>
      </c>
      <c r="Z231">
        <v>19</v>
      </c>
      <c r="AA231">
        <v>0</v>
      </c>
      <c r="AB231">
        <v>0</v>
      </c>
      <c r="AC231">
        <v>12</v>
      </c>
      <c r="AD231">
        <v>5</v>
      </c>
      <c r="AG231" t="s">
        <v>291</v>
      </c>
      <c r="AH231" t="s">
        <v>435</v>
      </c>
      <c r="AI231">
        <v>221</v>
      </c>
      <c r="AJ231">
        <v>86</v>
      </c>
      <c r="AK231">
        <v>59</v>
      </c>
      <c r="AL231">
        <v>2</v>
      </c>
      <c r="AM231">
        <v>0</v>
      </c>
      <c r="AN231" t="s">
        <v>49</v>
      </c>
      <c r="AO231">
        <v>0.80567685589519655</v>
      </c>
      <c r="AP231">
        <v>123</v>
      </c>
    </row>
    <row r="232" spans="1:42" x14ac:dyDescent="0.35">
      <c r="A232">
        <v>97320</v>
      </c>
      <c r="B232">
        <v>8619</v>
      </c>
      <c r="C232">
        <v>950349</v>
      </c>
      <c r="D232">
        <v>353</v>
      </c>
      <c r="E232" s="147">
        <v>44207</v>
      </c>
      <c r="F232" t="s">
        <v>548</v>
      </c>
      <c r="G232" t="s">
        <v>67</v>
      </c>
      <c r="H232" s="147">
        <v>44209</v>
      </c>
      <c r="I232">
        <v>7</v>
      </c>
      <c r="J232" t="s">
        <v>200</v>
      </c>
      <c r="L232">
        <v>0</v>
      </c>
      <c r="M232">
        <v>0</v>
      </c>
      <c r="U232">
        <v>945</v>
      </c>
      <c r="V232">
        <v>827</v>
      </c>
      <c r="W232">
        <v>0</v>
      </c>
      <c r="X232">
        <v>0</v>
      </c>
      <c r="Y232">
        <v>79</v>
      </c>
      <c r="Z232">
        <v>78</v>
      </c>
      <c r="AA232">
        <v>0</v>
      </c>
      <c r="AB232">
        <v>0</v>
      </c>
      <c r="AC232">
        <v>11</v>
      </c>
      <c r="AD232">
        <v>9</v>
      </c>
      <c r="AG232" t="s">
        <v>1</v>
      </c>
      <c r="AH232" t="s">
        <v>435</v>
      </c>
      <c r="AI232">
        <v>398</v>
      </c>
      <c r="AJ232">
        <v>87</v>
      </c>
      <c r="AK232">
        <v>175</v>
      </c>
      <c r="AL232">
        <v>33</v>
      </c>
      <c r="AM232">
        <v>0</v>
      </c>
      <c r="AN232" t="s">
        <v>49</v>
      </c>
      <c r="AO232">
        <v>0.87513227513227509</v>
      </c>
      <c r="AP232">
        <v>186</v>
      </c>
    </row>
    <row r="233" spans="1:42" x14ac:dyDescent="0.35">
      <c r="A233">
        <v>97335</v>
      </c>
      <c r="B233">
        <v>8619</v>
      </c>
      <c r="C233">
        <v>950364</v>
      </c>
      <c r="D233">
        <v>314</v>
      </c>
      <c r="E233" s="147">
        <v>44207</v>
      </c>
      <c r="F233" t="s">
        <v>530</v>
      </c>
      <c r="G233" t="s">
        <v>149</v>
      </c>
      <c r="H233" s="147">
        <v>44209</v>
      </c>
      <c r="I233">
        <v>7</v>
      </c>
      <c r="J233" t="s">
        <v>200</v>
      </c>
      <c r="L233">
        <v>0</v>
      </c>
      <c r="M233">
        <v>0</v>
      </c>
      <c r="U233">
        <v>340</v>
      </c>
      <c r="V233">
        <v>288</v>
      </c>
      <c r="W233">
        <v>0</v>
      </c>
      <c r="X233">
        <v>0</v>
      </c>
      <c r="Y233">
        <v>16</v>
      </c>
      <c r="Z233">
        <v>16</v>
      </c>
      <c r="AA233">
        <v>0</v>
      </c>
      <c r="AB233">
        <v>0</v>
      </c>
      <c r="AC233">
        <v>9</v>
      </c>
      <c r="AD233">
        <v>9</v>
      </c>
      <c r="AG233" t="s">
        <v>1</v>
      </c>
      <c r="AH233" t="s">
        <v>435</v>
      </c>
      <c r="AI233">
        <v>114</v>
      </c>
      <c r="AJ233">
        <v>36</v>
      </c>
      <c r="AK233">
        <v>49</v>
      </c>
      <c r="AL233">
        <v>2</v>
      </c>
      <c r="AM233">
        <v>0</v>
      </c>
      <c r="AN233" t="s">
        <v>49</v>
      </c>
      <c r="AO233">
        <v>0.84705882352941175</v>
      </c>
      <c r="AP233">
        <v>54</v>
      </c>
    </row>
    <row r="234" spans="1:42" x14ac:dyDescent="0.35">
      <c r="A234">
        <v>97425</v>
      </c>
      <c r="B234">
        <v>8619</v>
      </c>
      <c r="C234">
        <v>950454</v>
      </c>
      <c r="D234">
        <v>366</v>
      </c>
      <c r="E234" s="147">
        <v>44207</v>
      </c>
      <c r="F234" t="s">
        <v>524</v>
      </c>
      <c r="G234" t="s">
        <v>130</v>
      </c>
      <c r="H234" s="147">
        <v>44209</v>
      </c>
      <c r="I234">
        <v>7</v>
      </c>
      <c r="J234" t="s">
        <v>200</v>
      </c>
      <c r="L234">
        <v>0</v>
      </c>
      <c r="M234">
        <v>0</v>
      </c>
      <c r="U234">
        <v>782</v>
      </c>
      <c r="V234">
        <v>665</v>
      </c>
      <c r="W234">
        <v>0</v>
      </c>
      <c r="X234">
        <v>0</v>
      </c>
      <c r="Y234">
        <v>41</v>
      </c>
      <c r="Z234">
        <v>19</v>
      </c>
      <c r="AA234">
        <v>0</v>
      </c>
      <c r="AB234">
        <v>0</v>
      </c>
      <c r="AC234">
        <v>8</v>
      </c>
      <c r="AD234">
        <v>3</v>
      </c>
      <c r="AG234" t="s">
        <v>224</v>
      </c>
      <c r="AH234" t="s">
        <v>435</v>
      </c>
      <c r="AI234">
        <v>318</v>
      </c>
      <c r="AJ234">
        <v>97</v>
      </c>
      <c r="AK234">
        <v>71</v>
      </c>
      <c r="AL234">
        <v>2</v>
      </c>
      <c r="AM234">
        <v>0</v>
      </c>
      <c r="AN234" t="s">
        <v>49</v>
      </c>
      <c r="AO234">
        <v>0.85038363171355502</v>
      </c>
      <c r="AP234">
        <v>175</v>
      </c>
    </row>
    <row r="235" spans="1:42" x14ac:dyDescent="0.35">
      <c r="A235">
        <v>97428</v>
      </c>
      <c r="B235">
        <v>8619</v>
      </c>
      <c r="C235">
        <v>950457</v>
      </c>
      <c r="D235">
        <v>365</v>
      </c>
      <c r="E235" s="147">
        <v>44207</v>
      </c>
      <c r="F235" t="s">
        <v>537</v>
      </c>
      <c r="G235" t="s">
        <v>436</v>
      </c>
      <c r="H235" s="147">
        <v>44209</v>
      </c>
      <c r="I235">
        <v>7</v>
      </c>
      <c r="J235" t="s">
        <v>200</v>
      </c>
      <c r="L235">
        <v>0</v>
      </c>
      <c r="M235">
        <v>0</v>
      </c>
      <c r="U235">
        <v>596</v>
      </c>
      <c r="V235">
        <v>532</v>
      </c>
      <c r="W235">
        <v>0</v>
      </c>
      <c r="X235">
        <v>0</v>
      </c>
      <c r="Y235">
        <v>21</v>
      </c>
      <c r="Z235">
        <v>17</v>
      </c>
      <c r="AA235">
        <v>0</v>
      </c>
      <c r="AB235">
        <v>0</v>
      </c>
      <c r="AC235">
        <v>8</v>
      </c>
      <c r="AD235">
        <v>4</v>
      </c>
      <c r="AG235" t="s">
        <v>224</v>
      </c>
      <c r="AH235" t="s">
        <v>435</v>
      </c>
      <c r="AI235">
        <v>218</v>
      </c>
      <c r="AJ235">
        <v>78</v>
      </c>
      <c r="AK235">
        <v>84</v>
      </c>
      <c r="AL235">
        <v>3</v>
      </c>
      <c r="AM235">
        <v>0</v>
      </c>
      <c r="AN235" t="s">
        <v>49</v>
      </c>
      <c r="AO235">
        <v>0.89261744966442957</v>
      </c>
      <c r="AP235">
        <v>122</v>
      </c>
    </row>
    <row r="236" spans="1:42" x14ac:dyDescent="0.35">
      <c r="A236">
        <v>97436</v>
      </c>
      <c r="B236">
        <v>8619</v>
      </c>
      <c r="C236">
        <v>950465</v>
      </c>
      <c r="D236">
        <v>482</v>
      </c>
      <c r="E236" s="147">
        <v>44207</v>
      </c>
      <c r="F236" t="s">
        <v>549</v>
      </c>
      <c r="G236" t="s">
        <v>86</v>
      </c>
      <c r="H236" s="147">
        <v>44210</v>
      </c>
      <c r="I236">
        <v>7</v>
      </c>
      <c r="J236" t="s">
        <v>198</v>
      </c>
      <c r="L236">
        <v>0</v>
      </c>
      <c r="M236">
        <v>0</v>
      </c>
      <c r="U236">
        <v>532</v>
      </c>
      <c r="V236">
        <v>454</v>
      </c>
      <c r="W236">
        <v>0</v>
      </c>
      <c r="X236">
        <v>0</v>
      </c>
      <c r="Y236">
        <v>32</v>
      </c>
      <c r="Z236">
        <v>27</v>
      </c>
      <c r="AA236">
        <v>0</v>
      </c>
      <c r="AB236">
        <v>0</v>
      </c>
      <c r="AC236">
        <v>10</v>
      </c>
      <c r="AD236">
        <v>5</v>
      </c>
      <c r="AG236" t="s">
        <v>291</v>
      </c>
      <c r="AH236" t="s">
        <v>435</v>
      </c>
      <c r="AI236">
        <v>226</v>
      </c>
      <c r="AJ236">
        <v>51</v>
      </c>
      <c r="AK236">
        <v>76</v>
      </c>
      <c r="AL236">
        <v>7</v>
      </c>
      <c r="AM236">
        <v>0</v>
      </c>
      <c r="AN236" t="s">
        <v>49</v>
      </c>
      <c r="AO236">
        <v>0.85338345864661658</v>
      </c>
      <c r="AP236">
        <v>101</v>
      </c>
    </row>
    <row r="237" spans="1:42" x14ac:dyDescent="0.35">
      <c r="A237">
        <v>97444</v>
      </c>
      <c r="B237">
        <v>8619</v>
      </c>
      <c r="C237">
        <v>950473</v>
      </c>
      <c r="D237">
        <v>336</v>
      </c>
      <c r="E237" s="147">
        <v>44207</v>
      </c>
      <c r="F237" t="s">
        <v>545</v>
      </c>
      <c r="G237" t="s">
        <v>263</v>
      </c>
      <c r="H237" s="147">
        <v>44210</v>
      </c>
      <c r="I237">
        <v>7</v>
      </c>
      <c r="J237" t="s">
        <v>198</v>
      </c>
      <c r="L237">
        <v>0</v>
      </c>
      <c r="M237">
        <v>0</v>
      </c>
      <c r="U237">
        <v>540</v>
      </c>
      <c r="V237">
        <v>488</v>
      </c>
      <c r="W237">
        <v>0</v>
      </c>
      <c r="X237">
        <v>0</v>
      </c>
      <c r="Y237">
        <v>16</v>
      </c>
      <c r="Z237">
        <v>12</v>
      </c>
      <c r="AA237">
        <v>0</v>
      </c>
      <c r="AB237">
        <v>0</v>
      </c>
      <c r="AC237">
        <v>3</v>
      </c>
      <c r="AD237">
        <v>2</v>
      </c>
      <c r="AG237" t="s">
        <v>291</v>
      </c>
      <c r="AH237" t="s">
        <v>435</v>
      </c>
      <c r="AI237">
        <v>225</v>
      </c>
      <c r="AJ237">
        <v>94</v>
      </c>
      <c r="AK237">
        <v>53</v>
      </c>
      <c r="AL237">
        <v>5</v>
      </c>
      <c r="AM237">
        <v>0</v>
      </c>
      <c r="AN237" t="s">
        <v>49</v>
      </c>
      <c r="AO237">
        <v>0.90370370370370368</v>
      </c>
      <c r="AP237">
        <v>197</v>
      </c>
    </row>
    <row r="238" spans="1:42" x14ac:dyDescent="0.35">
      <c r="A238">
        <v>97462</v>
      </c>
      <c r="B238">
        <v>8619</v>
      </c>
      <c r="C238">
        <v>950491</v>
      </c>
      <c r="D238">
        <v>314</v>
      </c>
      <c r="E238" s="147">
        <v>44207</v>
      </c>
      <c r="F238" t="s">
        <v>530</v>
      </c>
      <c r="G238" t="s">
        <v>149</v>
      </c>
      <c r="H238" s="147">
        <v>44210</v>
      </c>
      <c r="I238">
        <v>7</v>
      </c>
      <c r="J238" t="s">
        <v>198</v>
      </c>
      <c r="L238">
        <v>0</v>
      </c>
      <c r="M238">
        <v>0</v>
      </c>
      <c r="U238">
        <v>338</v>
      </c>
      <c r="V238">
        <v>281</v>
      </c>
      <c r="W238">
        <v>0</v>
      </c>
      <c r="X238">
        <v>0</v>
      </c>
      <c r="Y238">
        <v>15</v>
      </c>
      <c r="Z238">
        <v>13</v>
      </c>
      <c r="AA238">
        <v>0</v>
      </c>
      <c r="AB238">
        <v>0</v>
      </c>
      <c r="AC238">
        <v>8</v>
      </c>
      <c r="AD238">
        <v>8</v>
      </c>
      <c r="AG238" t="s">
        <v>1</v>
      </c>
      <c r="AH238" t="s">
        <v>435</v>
      </c>
      <c r="AI238">
        <v>111</v>
      </c>
      <c r="AJ238">
        <v>33</v>
      </c>
      <c r="AK238">
        <v>58</v>
      </c>
      <c r="AL238">
        <v>1</v>
      </c>
      <c r="AM238">
        <v>0</v>
      </c>
      <c r="AN238" t="s">
        <v>49</v>
      </c>
      <c r="AO238">
        <v>0.83136094674556216</v>
      </c>
      <c r="AP238">
        <v>52</v>
      </c>
    </row>
    <row r="239" spans="1:42" x14ac:dyDescent="0.35">
      <c r="A239">
        <v>97555</v>
      </c>
      <c r="B239">
        <v>8619</v>
      </c>
      <c r="C239">
        <v>950584</v>
      </c>
      <c r="D239">
        <v>365</v>
      </c>
      <c r="E239" s="147">
        <v>44207</v>
      </c>
      <c r="F239" t="s">
        <v>537</v>
      </c>
      <c r="G239" t="s">
        <v>436</v>
      </c>
      <c r="H239" s="147">
        <v>44210</v>
      </c>
      <c r="I239">
        <v>7</v>
      </c>
      <c r="J239" t="s">
        <v>198</v>
      </c>
      <c r="L239">
        <v>0</v>
      </c>
      <c r="M239">
        <v>0</v>
      </c>
      <c r="U239">
        <v>595</v>
      </c>
      <c r="V239">
        <v>533</v>
      </c>
      <c r="W239">
        <v>0</v>
      </c>
      <c r="X239">
        <v>0</v>
      </c>
      <c r="Y239">
        <v>21</v>
      </c>
      <c r="Z239">
        <v>19</v>
      </c>
      <c r="AA239">
        <v>0</v>
      </c>
      <c r="AB239">
        <v>0</v>
      </c>
      <c r="AC239">
        <v>8</v>
      </c>
      <c r="AD239">
        <v>4</v>
      </c>
      <c r="AG239" t="s">
        <v>224</v>
      </c>
      <c r="AH239" t="s">
        <v>435</v>
      </c>
      <c r="AI239">
        <v>225</v>
      </c>
      <c r="AJ239">
        <v>79</v>
      </c>
      <c r="AK239">
        <v>68</v>
      </c>
      <c r="AL239">
        <v>1</v>
      </c>
      <c r="AM239">
        <v>0</v>
      </c>
      <c r="AN239" t="s">
        <v>49</v>
      </c>
      <c r="AO239">
        <v>0.89579831932773113</v>
      </c>
      <c r="AP239">
        <v>118</v>
      </c>
    </row>
    <row r="240" spans="1:42" x14ac:dyDescent="0.35">
      <c r="A240">
        <v>97566</v>
      </c>
      <c r="B240">
        <v>8619</v>
      </c>
      <c r="C240">
        <v>950595</v>
      </c>
      <c r="D240">
        <v>310</v>
      </c>
      <c r="E240" s="147">
        <v>44207</v>
      </c>
      <c r="F240" t="s">
        <v>550</v>
      </c>
      <c r="G240" t="s">
        <v>432</v>
      </c>
      <c r="H240" s="147">
        <v>44211</v>
      </c>
      <c r="I240">
        <v>7</v>
      </c>
      <c r="J240" t="s">
        <v>194</v>
      </c>
      <c r="L240">
        <v>0</v>
      </c>
      <c r="M240">
        <v>0</v>
      </c>
      <c r="U240">
        <v>1599</v>
      </c>
      <c r="V240">
        <v>1340</v>
      </c>
      <c r="W240">
        <v>0</v>
      </c>
      <c r="X240">
        <v>0</v>
      </c>
      <c r="Y240">
        <v>179</v>
      </c>
      <c r="Z240">
        <v>162</v>
      </c>
      <c r="AA240">
        <v>0</v>
      </c>
      <c r="AB240">
        <v>0</v>
      </c>
      <c r="AC240">
        <v>28</v>
      </c>
      <c r="AD240">
        <v>16</v>
      </c>
      <c r="AG240" t="s">
        <v>291</v>
      </c>
      <c r="AH240" t="s">
        <v>435</v>
      </c>
      <c r="AI240">
        <v>584</v>
      </c>
      <c r="AJ240">
        <v>155</v>
      </c>
      <c r="AK240">
        <v>221</v>
      </c>
      <c r="AL240">
        <v>5</v>
      </c>
      <c r="AM240">
        <v>0</v>
      </c>
      <c r="AN240" t="s">
        <v>49</v>
      </c>
      <c r="AO240">
        <v>0.83802376485303309</v>
      </c>
      <c r="AP240">
        <v>270</v>
      </c>
    </row>
    <row r="241" spans="1:42" x14ac:dyDescent="0.35">
      <c r="A241">
        <v>97571</v>
      </c>
      <c r="B241">
        <v>8619</v>
      </c>
      <c r="C241">
        <v>950600</v>
      </c>
      <c r="D241">
        <v>336</v>
      </c>
      <c r="E241" s="147">
        <v>44207</v>
      </c>
      <c r="F241" t="s">
        <v>545</v>
      </c>
      <c r="G241" t="s">
        <v>263</v>
      </c>
      <c r="H241" s="147">
        <v>44211</v>
      </c>
      <c r="I241">
        <v>7</v>
      </c>
      <c r="J241" t="s">
        <v>194</v>
      </c>
      <c r="L241">
        <v>0</v>
      </c>
      <c r="M241">
        <v>0</v>
      </c>
      <c r="U241">
        <v>543</v>
      </c>
      <c r="V241">
        <v>504</v>
      </c>
      <c r="W241">
        <v>0</v>
      </c>
      <c r="X241">
        <v>0</v>
      </c>
      <c r="Y241">
        <v>16</v>
      </c>
      <c r="Z241">
        <v>13</v>
      </c>
      <c r="AA241">
        <v>0</v>
      </c>
      <c r="AB241">
        <v>0</v>
      </c>
      <c r="AC241">
        <v>3</v>
      </c>
      <c r="AD241">
        <v>3</v>
      </c>
      <c r="AG241" t="s">
        <v>291</v>
      </c>
      <c r="AH241" t="s">
        <v>435</v>
      </c>
      <c r="AI241">
        <v>215</v>
      </c>
      <c r="AJ241">
        <v>84</v>
      </c>
      <c r="AK241">
        <v>47</v>
      </c>
      <c r="AL241">
        <v>1</v>
      </c>
      <c r="AM241">
        <v>0</v>
      </c>
      <c r="AN241" t="s">
        <v>49</v>
      </c>
      <c r="AO241">
        <v>0.92817679558011046</v>
      </c>
      <c r="AP241">
        <v>134</v>
      </c>
    </row>
    <row r="242" spans="1:42" x14ac:dyDescent="0.35">
      <c r="A242">
        <v>97573</v>
      </c>
      <c r="B242">
        <v>8619</v>
      </c>
      <c r="C242">
        <v>950602</v>
      </c>
      <c r="D242">
        <v>363</v>
      </c>
      <c r="E242" s="147">
        <v>44207</v>
      </c>
      <c r="F242" t="s">
        <v>546</v>
      </c>
      <c r="G242" t="s">
        <v>165</v>
      </c>
      <c r="H242" s="147">
        <v>44211</v>
      </c>
      <c r="I242">
        <v>7</v>
      </c>
      <c r="J242" t="s">
        <v>194</v>
      </c>
      <c r="L242">
        <v>0</v>
      </c>
      <c r="M242">
        <v>0</v>
      </c>
      <c r="U242">
        <v>451</v>
      </c>
      <c r="V242">
        <v>373</v>
      </c>
      <c r="W242">
        <v>0</v>
      </c>
      <c r="X242">
        <v>0</v>
      </c>
      <c r="Y242">
        <v>20</v>
      </c>
      <c r="Z242">
        <v>19</v>
      </c>
      <c r="AA242">
        <v>0</v>
      </c>
      <c r="AB242">
        <v>0</v>
      </c>
      <c r="AC242">
        <v>12</v>
      </c>
      <c r="AD242">
        <v>5</v>
      </c>
      <c r="AG242" t="s">
        <v>291</v>
      </c>
      <c r="AH242" t="s">
        <v>435</v>
      </c>
      <c r="AI242">
        <v>209</v>
      </c>
      <c r="AJ242">
        <v>77</v>
      </c>
      <c r="AK242">
        <v>44</v>
      </c>
      <c r="AL242">
        <v>2</v>
      </c>
      <c r="AM242">
        <v>0</v>
      </c>
      <c r="AN242" t="s">
        <v>49</v>
      </c>
      <c r="AO242">
        <v>0.82705099778270508</v>
      </c>
      <c r="AP242">
        <v>119</v>
      </c>
    </row>
    <row r="243" spans="1:42" x14ac:dyDescent="0.35">
      <c r="A243">
        <v>97574</v>
      </c>
      <c r="B243">
        <v>8619</v>
      </c>
      <c r="C243">
        <v>950603</v>
      </c>
      <c r="D243">
        <v>353</v>
      </c>
      <c r="E243" s="147">
        <v>44207</v>
      </c>
      <c r="F243" t="s">
        <v>548</v>
      </c>
      <c r="G243" t="s">
        <v>67</v>
      </c>
      <c r="H243" s="147">
        <v>44211</v>
      </c>
      <c r="I243">
        <v>7</v>
      </c>
      <c r="J243" t="s">
        <v>194</v>
      </c>
      <c r="L243">
        <v>0</v>
      </c>
      <c r="M243">
        <v>0</v>
      </c>
      <c r="U243">
        <v>925</v>
      </c>
      <c r="V243">
        <v>814</v>
      </c>
      <c r="W243">
        <v>0</v>
      </c>
      <c r="X243">
        <v>0</v>
      </c>
      <c r="Y243">
        <v>79</v>
      </c>
      <c r="Z243">
        <v>79</v>
      </c>
      <c r="AA243">
        <v>0</v>
      </c>
      <c r="AB243">
        <v>0</v>
      </c>
      <c r="AC243">
        <v>11</v>
      </c>
      <c r="AD243">
        <v>8</v>
      </c>
      <c r="AG243" t="s">
        <v>1</v>
      </c>
      <c r="AH243" t="s">
        <v>435</v>
      </c>
      <c r="AI243">
        <v>379</v>
      </c>
      <c r="AJ243">
        <v>84</v>
      </c>
      <c r="AK243">
        <v>162</v>
      </c>
      <c r="AL243">
        <v>25</v>
      </c>
      <c r="AM243">
        <v>0</v>
      </c>
      <c r="AN243" t="s">
        <v>49</v>
      </c>
      <c r="AO243">
        <v>0.88</v>
      </c>
      <c r="AP243">
        <v>171</v>
      </c>
    </row>
    <row r="244" spans="1:42" x14ac:dyDescent="0.35">
      <c r="A244">
        <v>97589</v>
      </c>
      <c r="B244">
        <v>8619</v>
      </c>
      <c r="C244">
        <v>950618</v>
      </c>
      <c r="D244">
        <v>314</v>
      </c>
      <c r="E244" s="147">
        <v>44207</v>
      </c>
      <c r="F244" t="s">
        <v>530</v>
      </c>
      <c r="G244" t="s">
        <v>149</v>
      </c>
      <c r="H244" s="147">
        <v>44211</v>
      </c>
      <c r="I244">
        <v>7</v>
      </c>
      <c r="J244" t="s">
        <v>194</v>
      </c>
      <c r="L244">
        <v>0</v>
      </c>
      <c r="M244">
        <v>0</v>
      </c>
      <c r="U244">
        <v>336</v>
      </c>
      <c r="V244">
        <v>276</v>
      </c>
      <c r="W244">
        <v>0</v>
      </c>
      <c r="X244">
        <v>0</v>
      </c>
      <c r="Y244">
        <v>15</v>
      </c>
      <c r="Z244">
        <v>14</v>
      </c>
      <c r="AA244">
        <v>0</v>
      </c>
      <c r="AB244">
        <v>0</v>
      </c>
      <c r="AC244">
        <v>8</v>
      </c>
      <c r="AD244">
        <v>7</v>
      </c>
      <c r="AG244" t="s">
        <v>1</v>
      </c>
      <c r="AH244" t="s">
        <v>435</v>
      </c>
      <c r="AI244">
        <v>110</v>
      </c>
      <c r="AJ244">
        <v>31</v>
      </c>
      <c r="AK244">
        <v>53</v>
      </c>
      <c r="AL244">
        <v>1</v>
      </c>
      <c r="AM244">
        <v>0</v>
      </c>
      <c r="AN244" t="s">
        <v>49</v>
      </c>
      <c r="AO244">
        <v>0.8214285714285714</v>
      </c>
      <c r="AP244">
        <v>51</v>
      </c>
    </row>
    <row r="245" spans="1:42" x14ac:dyDescent="0.35">
      <c r="A245">
        <v>97590</v>
      </c>
      <c r="B245">
        <v>8619</v>
      </c>
      <c r="C245">
        <v>950619</v>
      </c>
      <c r="D245">
        <v>444</v>
      </c>
      <c r="E245" s="147">
        <v>44207</v>
      </c>
      <c r="F245" t="s">
        <v>534</v>
      </c>
      <c r="G245" t="s">
        <v>156</v>
      </c>
      <c r="H245" s="147">
        <v>44211</v>
      </c>
      <c r="I245">
        <v>7</v>
      </c>
      <c r="J245" t="s">
        <v>194</v>
      </c>
      <c r="L245">
        <v>0</v>
      </c>
      <c r="M245">
        <v>0</v>
      </c>
      <c r="U245">
        <v>486</v>
      </c>
      <c r="V245">
        <v>468</v>
      </c>
      <c r="W245">
        <v>0</v>
      </c>
      <c r="X245">
        <v>0</v>
      </c>
      <c r="Y245">
        <v>116</v>
      </c>
      <c r="Z245">
        <v>106</v>
      </c>
      <c r="AA245">
        <v>0</v>
      </c>
      <c r="AB245">
        <v>0</v>
      </c>
      <c r="AC245">
        <v>32</v>
      </c>
      <c r="AD245">
        <v>23</v>
      </c>
      <c r="AG245" t="s">
        <v>1</v>
      </c>
      <c r="AH245" t="s">
        <v>435</v>
      </c>
      <c r="AI245">
        <v>202</v>
      </c>
      <c r="AJ245">
        <v>73</v>
      </c>
      <c r="AK245">
        <v>49</v>
      </c>
      <c r="AL245">
        <v>1</v>
      </c>
      <c r="AM245">
        <v>0</v>
      </c>
      <c r="AN245" t="s">
        <v>49</v>
      </c>
      <c r="AO245">
        <v>0.96296296296296291</v>
      </c>
      <c r="AP245">
        <v>112</v>
      </c>
    </row>
    <row r="246" spans="1:42" x14ac:dyDescent="0.35">
      <c r="A246">
        <v>97679</v>
      </c>
      <c r="B246">
        <v>8619</v>
      </c>
      <c r="C246">
        <v>950708</v>
      </c>
      <c r="D246">
        <v>366</v>
      </c>
      <c r="E246" s="147">
        <v>44207</v>
      </c>
      <c r="F246" t="s">
        <v>524</v>
      </c>
      <c r="G246" t="s">
        <v>130</v>
      </c>
      <c r="H246" s="147">
        <v>44211</v>
      </c>
      <c r="I246">
        <v>7</v>
      </c>
      <c r="J246" t="s">
        <v>194</v>
      </c>
      <c r="L246">
        <v>0</v>
      </c>
      <c r="M246">
        <v>0</v>
      </c>
      <c r="U246">
        <v>782</v>
      </c>
      <c r="V246">
        <v>661</v>
      </c>
      <c r="W246">
        <v>0</v>
      </c>
      <c r="X246">
        <v>0</v>
      </c>
      <c r="Y246">
        <v>41</v>
      </c>
      <c r="Z246">
        <v>18</v>
      </c>
      <c r="AA246">
        <v>0</v>
      </c>
      <c r="AB246">
        <v>0</v>
      </c>
      <c r="AC246">
        <v>8</v>
      </c>
      <c r="AD246">
        <v>2</v>
      </c>
      <c r="AG246" t="s">
        <v>224</v>
      </c>
      <c r="AH246" t="s">
        <v>435</v>
      </c>
      <c r="AI246">
        <v>288</v>
      </c>
      <c r="AJ246">
        <v>101</v>
      </c>
      <c r="AK246">
        <v>64</v>
      </c>
      <c r="AL246">
        <v>1</v>
      </c>
      <c r="AM246">
        <v>0</v>
      </c>
      <c r="AN246" t="s">
        <v>49</v>
      </c>
      <c r="AO246">
        <v>0.84526854219948844</v>
      </c>
      <c r="AP246">
        <v>166</v>
      </c>
    </row>
    <row r="247" spans="1:42" x14ac:dyDescent="0.35">
      <c r="A247">
        <v>97690</v>
      </c>
      <c r="B247">
        <v>8619</v>
      </c>
      <c r="C247">
        <v>950719</v>
      </c>
      <c r="D247">
        <v>482</v>
      </c>
      <c r="E247" s="147">
        <v>44207</v>
      </c>
      <c r="F247" t="s">
        <v>549</v>
      </c>
      <c r="G247" t="s">
        <v>86</v>
      </c>
      <c r="H247" s="147">
        <v>44212</v>
      </c>
      <c r="I247">
        <v>7</v>
      </c>
      <c r="J247" t="s">
        <v>196</v>
      </c>
      <c r="L247">
        <v>0</v>
      </c>
      <c r="M247">
        <v>0</v>
      </c>
      <c r="U247">
        <v>530</v>
      </c>
      <c r="V247">
        <v>436</v>
      </c>
      <c r="W247">
        <v>0</v>
      </c>
      <c r="X247">
        <v>0</v>
      </c>
      <c r="Y247">
        <v>34</v>
      </c>
      <c r="Z247">
        <v>29</v>
      </c>
      <c r="AA247">
        <v>0</v>
      </c>
      <c r="AB247">
        <v>0</v>
      </c>
      <c r="AC247">
        <v>10</v>
      </c>
      <c r="AD247">
        <v>4</v>
      </c>
      <c r="AG247" t="s">
        <v>291</v>
      </c>
      <c r="AH247" t="s">
        <v>435</v>
      </c>
      <c r="AI247">
        <v>218</v>
      </c>
      <c r="AJ247">
        <v>51</v>
      </c>
      <c r="AK247">
        <v>78</v>
      </c>
      <c r="AL247">
        <v>1</v>
      </c>
      <c r="AM247">
        <v>0</v>
      </c>
      <c r="AN247" t="s">
        <v>49</v>
      </c>
      <c r="AO247">
        <v>0.8226415094339623</v>
      </c>
      <c r="AP247">
        <v>105</v>
      </c>
    </row>
    <row r="248" spans="1:42" x14ac:dyDescent="0.35">
      <c r="A248">
        <v>97693</v>
      </c>
      <c r="B248">
        <v>8619</v>
      </c>
      <c r="C248">
        <v>950722</v>
      </c>
      <c r="D248">
        <v>310</v>
      </c>
      <c r="E248" s="147">
        <v>44207</v>
      </c>
      <c r="F248" t="s">
        <v>550</v>
      </c>
      <c r="G248" t="s">
        <v>432</v>
      </c>
      <c r="H248" s="147">
        <v>44212</v>
      </c>
      <c r="I248">
        <v>7</v>
      </c>
      <c r="J248" t="s">
        <v>196</v>
      </c>
      <c r="L248">
        <v>0</v>
      </c>
      <c r="M248">
        <v>0</v>
      </c>
      <c r="U248">
        <v>1653</v>
      </c>
      <c r="V248">
        <v>908</v>
      </c>
      <c r="W248">
        <v>0</v>
      </c>
      <c r="X248">
        <v>0</v>
      </c>
      <c r="Y248">
        <v>137</v>
      </c>
      <c r="Z248">
        <v>68</v>
      </c>
      <c r="AA248">
        <v>0</v>
      </c>
      <c r="AB248">
        <v>0</v>
      </c>
      <c r="AC248">
        <v>28</v>
      </c>
      <c r="AD248">
        <v>5</v>
      </c>
      <c r="AG248" t="s">
        <v>291</v>
      </c>
      <c r="AH248" t="s">
        <v>435</v>
      </c>
      <c r="AI248">
        <v>393</v>
      </c>
      <c r="AJ248">
        <v>107</v>
      </c>
      <c r="AK248">
        <v>225</v>
      </c>
      <c r="AL248">
        <v>9</v>
      </c>
      <c r="AM248">
        <v>0</v>
      </c>
      <c r="AN248" t="s">
        <v>49</v>
      </c>
      <c r="AO248">
        <v>0.5493042952208107</v>
      </c>
      <c r="AP248">
        <v>178</v>
      </c>
    </row>
    <row r="249" spans="1:42" x14ac:dyDescent="0.35">
      <c r="A249">
        <v>97698</v>
      </c>
      <c r="B249">
        <v>8619</v>
      </c>
      <c r="C249">
        <v>950727</v>
      </c>
      <c r="D249">
        <v>336</v>
      </c>
      <c r="E249" s="147">
        <v>44207</v>
      </c>
      <c r="F249" t="s">
        <v>545</v>
      </c>
      <c r="G249" t="s">
        <v>263</v>
      </c>
      <c r="H249" s="147">
        <v>44212</v>
      </c>
      <c r="I249">
        <v>7</v>
      </c>
      <c r="J249" t="s">
        <v>196</v>
      </c>
      <c r="L249">
        <v>0</v>
      </c>
      <c r="M249">
        <v>0</v>
      </c>
      <c r="U249">
        <v>535</v>
      </c>
      <c r="V249">
        <v>479</v>
      </c>
      <c r="W249">
        <v>0</v>
      </c>
      <c r="X249">
        <v>0</v>
      </c>
      <c r="Y249">
        <v>16</v>
      </c>
      <c r="Z249">
        <v>14</v>
      </c>
      <c r="AA249">
        <v>0</v>
      </c>
      <c r="AB249">
        <v>0</v>
      </c>
      <c r="AC249">
        <v>3</v>
      </c>
      <c r="AD249">
        <v>2</v>
      </c>
      <c r="AG249" t="s">
        <v>291</v>
      </c>
      <c r="AH249" t="s">
        <v>435</v>
      </c>
      <c r="AI249">
        <v>215</v>
      </c>
      <c r="AJ249">
        <v>84</v>
      </c>
      <c r="AK249">
        <v>45</v>
      </c>
      <c r="AL249">
        <v>1</v>
      </c>
      <c r="AM249">
        <v>0</v>
      </c>
      <c r="AN249" t="s">
        <v>49</v>
      </c>
      <c r="AO249">
        <v>0.89532710280373828</v>
      </c>
      <c r="AP249">
        <v>134</v>
      </c>
    </row>
    <row r="250" spans="1:42" x14ac:dyDescent="0.35">
      <c r="A250">
        <v>97699</v>
      </c>
      <c r="B250">
        <v>8619</v>
      </c>
      <c r="C250">
        <v>950728</v>
      </c>
      <c r="D250">
        <v>481</v>
      </c>
      <c r="E250" s="147">
        <v>44207</v>
      </c>
      <c r="F250" t="s">
        <v>551</v>
      </c>
      <c r="G250" t="s">
        <v>164</v>
      </c>
      <c r="H250" s="147">
        <v>44212</v>
      </c>
      <c r="I250">
        <v>7</v>
      </c>
      <c r="J250" t="s">
        <v>196</v>
      </c>
      <c r="L250">
        <v>0</v>
      </c>
      <c r="M250">
        <v>0</v>
      </c>
      <c r="U250">
        <v>630</v>
      </c>
      <c r="V250">
        <v>513</v>
      </c>
      <c r="W250">
        <v>0</v>
      </c>
      <c r="X250">
        <v>0</v>
      </c>
      <c r="Y250">
        <v>34</v>
      </c>
      <c r="Z250">
        <v>27</v>
      </c>
      <c r="AA250">
        <v>0</v>
      </c>
      <c r="AB250">
        <v>0</v>
      </c>
      <c r="AC250">
        <v>6</v>
      </c>
      <c r="AD250">
        <v>6</v>
      </c>
      <c r="AG250" t="s">
        <v>291</v>
      </c>
      <c r="AH250" t="s">
        <v>435</v>
      </c>
      <c r="AI250">
        <v>287</v>
      </c>
      <c r="AJ250">
        <v>76</v>
      </c>
      <c r="AK250">
        <v>82</v>
      </c>
      <c r="AL250">
        <v>11</v>
      </c>
      <c r="AM250">
        <v>0</v>
      </c>
      <c r="AN250" t="s">
        <v>49</v>
      </c>
      <c r="AO250">
        <v>0.81428571428571428</v>
      </c>
      <c r="AP250">
        <v>133</v>
      </c>
    </row>
    <row r="251" spans="1:42" x14ac:dyDescent="0.35">
      <c r="A251">
        <v>97700</v>
      </c>
      <c r="B251">
        <v>8619</v>
      </c>
      <c r="C251">
        <v>950729</v>
      </c>
      <c r="D251">
        <v>363</v>
      </c>
      <c r="E251" s="147">
        <v>44207</v>
      </c>
      <c r="F251" t="s">
        <v>546</v>
      </c>
      <c r="G251" t="s">
        <v>165</v>
      </c>
      <c r="H251" s="147">
        <v>44212</v>
      </c>
      <c r="I251">
        <v>7</v>
      </c>
      <c r="J251" t="s">
        <v>196</v>
      </c>
      <c r="L251">
        <v>0</v>
      </c>
      <c r="M251">
        <v>0</v>
      </c>
      <c r="U251">
        <v>450</v>
      </c>
      <c r="V251">
        <v>357</v>
      </c>
      <c r="W251">
        <v>0</v>
      </c>
      <c r="X251">
        <v>0</v>
      </c>
      <c r="Y251">
        <v>20</v>
      </c>
      <c r="Z251">
        <v>17</v>
      </c>
      <c r="AA251">
        <v>0</v>
      </c>
      <c r="AB251">
        <v>0</v>
      </c>
      <c r="AC251">
        <v>12</v>
      </c>
      <c r="AD251">
        <v>6</v>
      </c>
      <c r="AG251" t="s">
        <v>291</v>
      </c>
      <c r="AH251" t="s">
        <v>435</v>
      </c>
      <c r="AI251">
        <v>208</v>
      </c>
      <c r="AJ251">
        <v>70</v>
      </c>
      <c r="AK251">
        <v>58</v>
      </c>
      <c r="AL251">
        <v>2</v>
      </c>
      <c r="AM251">
        <v>0</v>
      </c>
      <c r="AN251" t="s">
        <v>49</v>
      </c>
      <c r="AO251">
        <v>0.79333333333333333</v>
      </c>
      <c r="AP251">
        <v>118</v>
      </c>
    </row>
    <row r="252" spans="1:42" x14ac:dyDescent="0.35">
      <c r="A252">
        <v>97708</v>
      </c>
      <c r="B252">
        <v>8619</v>
      </c>
      <c r="C252">
        <v>950737</v>
      </c>
      <c r="D252">
        <v>535</v>
      </c>
      <c r="E252" s="147">
        <v>44207</v>
      </c>
      <c r="F252" t="s">
        <v>552</v>
      </c>
      <c r="G252" t="s">
        <v>101</v>
      </c>
      <c r="H252" s="147">
        <v>44212</v>
      </c>
      <c r="I252">
        <v>7</v>
      </c>
      <c r="J252" t="s">
        <v>196</v>
      </c>
      <c r="L252">
        <v>0</v>
      </c>
      <c r="M252">
        <v>0</v>
      </c>
      <c r="U252">
        <v>961</v>
      </c>
      <c r="V252">
        <v>781</v>
      </c>
      <c r="W252">
        <v>0</v>
      </c>
      <c r="X252">
        <v>0</v>
      </c>
      <c r="Y252">
        <v>137</v>
      </c>
      <c r="Z252">
        <v>135</v>
      </c>
      <c r="AA252">
        <v>0</v>
      </c>
      <c r="AB252">
        <v>0</v>
      </c>
      <c r="AC252">
        <v>46</v>
      </c>
      <c r="AD252">
        <v>30</v>
      </c>
      <c r="AG252" t="s">
        <v>1</v>
      </c>
      <c r="AH252" t="s">
        <v>435</v>
      </c>
      <c r="AI252">
        <v>440</v>
      </c>
      <c r="AJ252">
        <v>151</v>
      </c>
      <c r="AK252">
        <v>134</v>
      </c>
      <c r="AL252">
        <v>7</v>
      </c>
      <c r="AM252">
        <v>0</v>
      </c>
      <c r="AN252" t="s">
        <v>49</v>
      </c>
      <c r="AO252">
        <v>0.81269510926118627</v>
      </c>
      <c r="AP252">
        <v>211</v>
      </c>
    </row>
    <row r="253" spans="1:42" x14ac:dyDescent="0.35">
      <c r="A253">
        <v>97710</v>
      </c>
      <c r="B253">
        <v>8619</v>
      </c>
      <c r="C253">
        <v>950739</v>
      </c>
      <c r="D253">
        <v>316</v>
      </c>
      <c r="E253" s="147">
        <v>44207</v>
      </c>
      <c r="F253" t="s">
        <v>529</v>
      </c>
      <c r="G253" t="s">
        <v>106</v>
      </c>
      <c r="H253" s="147">
        <v>44212</v>
      </c>
      <c r="I253">
        <v>7</v>
      </c>
      <c r="J253" t="s">
        <v>196</v>
      </c>
      <c r="L253">
        <v>0</v>
      </c>
      <c r="M253">
        <v>0</v>
      </c>
      <c r="U253">
        <v>373</v>
      </c>
      <c r="V253">
        <v>332</v>
      </c>
      <c r="W253">
        <v>0</v>
      </c>
      <c r="X253">
        <v>0</v>
      </c>
      <c r="Y253">
        <v>30</v>
      </c>
      <c r="Z253">
        <v>29</v>
      </c>
      <c r="AA253">
        <v>0</v>
      </c>
      <c r="AB253">
        <v>0</v>
      </c>
      <c r="AC253">
        <v>7</v>
      </c>
      <c r="AD253">
        <v>7</v>
      </c>
      <c r="AG253" t="s">
        <v>1</v>
      </c>
      <c r="AH253" t="s">
        <v>435</v>
      </c>
      <c r="AI253">
        <v>146</v>
      </c>
      <c r="AJ253">
        <v>32</v>
      </c>
      <c r="AK253">
        <v>78</v>
      </c>
      <c r="AL253">
        <v>1</v>
      </c>
      <c r="AM253">
        <v>0</v>
      </c>
      <c r="AN253" t="s">
        <v>49</v>
      </c>
      <c r="AO253">
        <v>0.89008042895442363</v>
      </c>
      <c r="AP253">
        <v>61</v>
      </c>
    </row>
    <row r="254" spans="1:42" x14ac:dyDescent="0.35">
      <c r="A254">
        <v>97712</v>
      </c>
      <c r="B254">
        <v>8619</v>
      </c>
      <c r="C254">
        <v>950741</v>
      </c>
      <c r="D254">
        <v>25507</v>
      </c>
      <c r="E254" s="147">
        <v>44207</v>
      </c>
      <c r="F254" t="s">
        <v>553</v>
      </c>
      <c r="G254" t="s">
        <v>221</v>
      </c>
      <c r="H254" s="147">
        <v>44212</v>
      </c>
      <c r="I254">
        <v>7</v>
      </c>
      <c r="J254" t="s">
        <v>196</v>
      </c>
      <c r="L254">
        <v>0</v>
      </c>
      <c r="M254">
        <v>0</v>
      </c>
      <c r="U254">
        <v>911</v>
      </c>
      <c r="V254">
        <v>861</v>
      </c>
      <c r="W254">
        <v>0</v>
      </c>
      <c r="X254">
        <v>0</v>
      </c>
      <c r="Y254">
        <v>107</v>
      </c>
      <c r="Z254">
        <v>91</v>
      </c>
      <c r="AA254">
        <v>0</v>
      </c>
      <c r="AB254">
        <v>0</v>
      </c>
      <c r="AC254">
        <v>5</v>
      </c>
      <c r="AD254">
        <v>3</v>
      </c>
      <c r="AG254" t="s">
        <v>1</v>
      </c>
      <c r="AH254" t="s">
        <v>435</v>
      </c>
      <c r="AI254">
        <v>360</v>
      </c>
      <c r="AJ254">
        <v>91</v>
      </c>
      <c r="AK254">
        <v>159</v>
      </c>
      <c r="AL254">
        <v>8</v>
      </c>
      <c r="AM254">
        <v>0</v>
      </c>
      <c r="AN254" t="s">
        <v>49</v>
      </c>
      <c r="AO254">
        <v>0.94511525795828755</v>
      </c>
      <c r="AP254">
        <v>153</v>
      </c>
    </row>
    <row r="255" spans="1:42" x14ac:dyDescent="0.35">
      <c r="A255">
        <v>97716</v>
      </c>
      <c r="B255">
        <v>8619</v>
      </c>
      <c r="C255">
        <v>950745</v>
      </c>
      <c r="D255">
        <v>314</v>
      </c>
      <c r="E255" s="147">
        <v>44207</v>
      </c>
      <c r="F255" t="s">
        <v>530</v>
      </c>
      <c r="G255" t="s">
        <v>149</v>
      </c>
      <c r="H255" s="147">
        <v>44212</v>
      </c>
      <c r="I255">
        <v>7</v>
      </c>
      <c r="J255" t="s">
        <v>196</v>
      </c>
      <c r="L255">
        <v>0</v>
      </c>
      <c r="M255">
        <v>0</v>
      </c>
      <c r="U255">
        <v>339</v>
      </c>
      <c r="V255">
        <v>277</v>
      </c>
      <c r="W255">
        <v>0</v>
      </c>
      <c r="X255">
        <v>0</v>
      </c>
      <c r="Y255">
        <v>15</v>
      </c>
      <c r="Z255">
        <v>13</v>
      </c>
      <c r="AA255">
        <v>0</v>
      </c>
      <c r="AB255">
        <v>0</v>
      </c>
      <c r="AC255">
        <v>8</v>
      </c>
      <c r="AD255">
        <v>5</v>
      </c>
      <c r="AG255" t="s">
        <v>1</v>
      </c>
      <c r="AH255" t="s">
        <v>435</v>
      </c>
      <c r="AI255">
        <v>105</v>
      </c>
      <c r="AJ255">
        <v>29</v>
      </c>
      <c r="AK255">
        <v>60</v>
      </c>
      <c r="AL255">
        <v>2</v>
      </c>
      <c r="AM255">
        <v>0</v>
      </c>
      <c r="AN255" t="s">
        <v>49</v>
      </c>
      <c r="AO255">
        <v>0.81710914454277284</v>
      </c>
      <c r="AP255">
        <v>44</v>
      </c>
    </row>
    <row r="256" spans="1:42" x14ac:dyDescent="0.35">
      <c r="A256">
        <v>97813</v>
      </c>
      <c r="B256">
        <v>8619</v>
      </c>
      <c r="C256">
        <v>950842</v>
      </c>
      <c r="D256">
        <v>388</v>
      </c>
      <c r="E256" s="147">
        <v>44207</v>
      </c>
      <c r="F256" t="s">
        <v>554</v>
      </c>
      <c r="G256" t="s">
        <v>222</v>
      </c>
      <c r="H256" s="147">
        <v>44212</v>
      </c>
      <c r="I256">
        <v>7</v>
      </c>
      <c r="J256" t="s">
        <v>196</v>
      </c>
      <c r="L256">
        <v>0</v>
      </c>
      <c r="M256">
        <v>0</v>
      </c>
      <c r="U256">
        <v>826</v>
      </c>
      <c r="V256">
        <v>722</v>
      </c>
      <c r="W256">
        <v>0</v>
      </c>
      <c r="X256">
        <v>0</v>
      </c>
      <c r="Y256">
        <v>44</v>
      </c>
      <c r="Z256">
        <v>34</v>
      </c>
      <c r="AA256">
        <v>0</v>
      </c>
      <c r="AB256">
        <v>0</v>
      </c>
      <c r="AC256">
        <v>15</v>
      </c>
      <c r="AD256">
        <v>15</v>
      </c>
      <c r="AG256" t="s">
        <v>224</v>
      </c>
      <c r="AH256" t="s">
        <v>435</v>
      </c>
      <c r="AI256">
        <v>335</v>
      </c>
      <c r="AJ256">
        <v>87</v>
      </c>
      <c r="AK256">
        <v>96</v>
      </c>
      <c r="AL256">
        <v>24</v>
      </c>
      <c r="AM256">
        <v>0</v>
      </c>
      <c r="AN256" t="s">
        <v>49</v>
      </c>
      <c r="AO256">
        <v>0.87409200968523004</v>
      </c>
      <c r="AP256">
        <v>174</v>
      </c>
    </row>
    <row r="257" spans="1:42" x14ac:dyDescent="0.35">
      <c r="A257">
        <v>97815</v>
      </c>
      <c r="B257">
        <v>8619</v>
      </c>
      <c r="C257">
        <v>950844</v>
      </c>
      <c r="D257">
        <v>330</v>
      </c>
      <c r="E257" s="147">
        <v>44207</v>
      </c>
      <c r="F257" t="s">
        <v>555</v>
      </c>
      <c r="G257" t="s">
        <v>307</v>
      </c>
      <c r="H257" s="147">
        <v>44213</v>
      </c>
      <c r="I257">
        <v>7</v>
      </c>
      <c r="J257" t="s">
        <v>197</v>
      </c>
      <c r="L257">
        <v>0</v>
      </c>
      <c r="M257">
        <v>0</v>
      </c>
      <c r="U257">
        <v>1011</v>
      </c>
      <c r="V257">
        <v>912</v>
      </c>
      <c r="W257">
        <v>0</v>
      </c>
      <c r="X257">
        <v>0</v>
      </c>
      <c r="Y257">
        <v>37</v>
      </c>
      <c r="Z257">
        <v>27</v>
      </c>
      <c r="AA257">
        <v>0</v>
      </c>
      <c r="AB257">
        <v>0</v>
      </c>
      <c r="AC257">
        <v>22</v>
      </c>
      <c r="AD257">
        <v>10</v>
      </c>
      <c r="AG257" t="s">
        <v>291</v>
      </c>
      <c r="AH257" t="s">
        <v>435</v>
      </c>
      <c r="AI257">
        <v>414</v>
      </c>
      <c r="AJ257">
        <v>118</v>
      </c>
      <c r="AK257">
        <v>133</v>
      </c>
      <c r="AL257">
        <v>9</v>
      </c>
      <c r="AM257">
        <v>0</v>
      </c>
      <c r="AN257" t="s">
        <v>49</v>
      </c>
      <c r="AO257">
        <v>0.90207715133531152</v>
      </c>
      <c r="AP257">
        <v>210</v>
      </c>
    </row>
    <row r="258" spans="1:42" x14ac:dyDescent="0.35">
      <c r="A258">
        <v>97826</v>
      </c>
      <c r="B258">
        <v>8619</v>
      </c>
      <c r="C258">
        <v>950855</v>
      </c>
      <c r="D258">
        <v>481</v>
      </c>
      <c r="E258" s="147">
        <v>44207</v>
      </c>
      <c r="F258" t="s">
        <v>551</v>
      </c>
      <c r="G258" t="s">
        <v>164</v>
      </c>
      <c r="H258" s="147">
        <v>44213</v>
      </c>
      <c r="I258">
        <v>7</v>
      </c>
      <c r="J258" t="s">
        <v>197</v>
      </c>
      <c r="L258">
        <v>0</v>
      </c>
      <c r="M258">
        <v>0</v>
      </c>
      <c r="U258">
        <v>630</v>
      </c>
      <c r="V258">
        <v>530</v>
      </c>
      <c r="W258">
        <v>0</v>
      </c>
      <c r="X258">
        <v>0</v>
      </c>
      <c r="Y258">
        <v>34</v>
      </c>
      <c r="Z258">
        <v>26</v>
      </c>
      <c r="AA258">
        <v>0</v>
      </c>
      <c r="AB258">
        <v>0</v>
      </c>
      <c r="AC258">
        <v>6</v>
      </c>
      <c r="AD258">
        <v>6</v>
      </c>
      <c r="AG258" t="s">
        <v>291</v>
      </c>
      <c r="AH258" t="s">
        <v>435</v>
      </c>
      <c r="AI258">
        <v>305</v>
      </c>
      <c r="AJ258">
        <v>78</v>
      </c>
      <c r="AK258">
        <v>79</v>
      </c>
      <c r="AL258">
        <v>5</v>
      </c>
      <c r="AM258">
        <v>0</v>
      </c>
      <c r="AN258" t="s">
        <v>49</v>
      </c>
      <c r="AO258">
        <v>0.84126984126984128</v>
      </c>
      <c r="AP258">
        <v>143</v>
      </c>
    </row>
    <row r="259" spans="1:42" x14ac:dyDescent="0.35">
      <c r="A259">
        <v>97835</v>
      </c>
      <c r="B259">
        <v>8619</v>
      </c>
      <c r="C259">
        <v>950864</v>
      </c>
      <c r="D259">
        <v>535</v>
      </c>
      <c r="E259" s="147">
        <v>44207</v>
      </c>
      <c r="F259" t="s">
        <v>552</v>
      </c>
      <c r="G259" t="s">
        <v>101</v>
      </c>
      <c r="H259" s="147">
        <v>44213</v>
      </c>
      <c r="I259">
        <v>7</v>
      </c>
      <c r="J259" t="s">
        <v>197</v>
      </c>
      <c r="L259">
        <v>0</v>
      </c>
      <c r="M259">
        <v>0</v>
      </c>
      <c r="U259">
        <v>961</v>
      </c>
      <c r="V259">
        <v>788</v>
      </c>
      <c r="W259">
        <v>0</v>
      </c>
      <c r="X259">
        <v>0</v>
      </c>
      <c r="Y259">
        <v>137</v>
      </c>
      <c r="Z259">
        <v>137</v>
      </c>
      <c r="AA259">
        <v>0</v>
      </c>
      <c r="AB259">
        <v>0</v>
      </c>
      <c r="AC259">
        <v>46</v>
      </c>
      <c r="AD259">
        <v>27</v>
      </c>
      <c r="AG259" t="s">
        <v>1</v>
      </c>
      <c r="AH259" t="s">
        <v>435</v>
      </c>
      <c r="AI259">
        <v>464</v>
      </c>
      <c r="AJ259">
        <v>151</v>
      </c>
      <c r="AK259">
        <v>156</v>
      </c>
      <c r="AL259">
        <v>7</v>
      </c>
      <c r="AM259">
        <v>0</v>
      </c>
      <c r="AN259" t="s">
        <v>49</v>
      </c>
      <c r="AO259">
        <v>0.81997918834547345</v>
      </c>
      <c r="AP259">
        <v>229</v>
      </c>
    </row>
    <row r="260" spans="1:42" x14ac:dyDescent="0.35">
      <c r="A260">
        <v>97837</v>
      </c>
      <c r="B260">
        <v>8619</v>
      </c>
      <c r="C260">
        <v>950866</v>
      </c>
      <c r="D260">
        <v>316</v>
      </c>
      <c r="E260" s="147">
        <v>44207</v>
      </c>
      <c r="F260" t="s">
        <v>529</v>
      </c>
      <c r="G260" t="s">
        <v>106</v>
      </c>
      <c r="H260" s="147">
        <v>44213</v>
      </c>
      <c r="I260">
        <v>7</v>
      </c>
      <c r="J260" t="s">
        <v>197</v>
      </c>
      <c r="L260">
        <v>0</v>
      </c>
      <c r="M260">
        <v>0</v>
      </c>
      <c r="U260">
        <v>373</v>
      </c>
      <c r="V260">
        <v>345</v>
      </c>
      <c r="W260">
        <v>0</v>
      </c>
      <c r="X260">
        <v>0</v>
      </c>
      <c r="Y260">
        <v>30</v>
      </c>
      <c r="Z260">
        <v>28</v>
      </c>
      <c r="AA260">
        <v>0</v>
      </c>
      <c r="AB260">
        <v>0</v>
      </c>
      <c r="AC260">
        <v>7</v>
      </c>
      <c r="AD260">
        <v>7</v>
      </c>
      <c r="AG260" t="s">
        <v>1</v>
      </c>
      <c r="AH260" t="s">
        <v>435</v>
      </c>
      <c r="AI260">
        <v>151</v>
      </c>
      <c r="AJ260">
        <v>33</v>
      </c>
      <c r="AK260">
        <v>61</v>
      </c>
      <c r="AL260">
        <v>1</v>
      </c>
      <c r="AM260">
        <v>0</v>
      </c>
      <c r="AN260" t="s">
        <v>49</v>
      </c>
      <c r="AO260">
        <v>0.92493297587131362</v>
      </c>
      <c r="AP260">
        <v>64</v>
      </c>
    </row>
    <row r="261" spans="1:42" x14ac:dyDescent="0.35">
      <c r="A261">
        <v>97838</v>
      </c>
      <c r="B261">
        <v>8619</v>
      </c>
      <c r="C261">
        <v>950867</v>
      </c>
      <c r="D261">
        <v>374</v>
      </c>
      <c r="E261" s="147">
        <v>44207</v>
      </c>
      <c r="F261" t="s">
        <v>556</v>
      </c>
      <c r="G261" t="s">
        <v>109</v>
      </c>
      <c r="H261" s="147">
        <v>44213</v>
      </c>
      <c r="I261">
        <v>7</v>
      </c>
      <c r="J261" t="s">
        <v>197</v>
      </c>
      <c r="L261">
        <v>0</v>
      </c>
      <c r="M261">
        <v>0</v>
      </c>
      <c r="U261">
        <v>864</v>
      </c>
      <c r="V261">
        <v>797</v>
      </c>
      <c r="W261">
        <v>0</v>
      </c>
      <c r="X261">
        <v>0</v>
      </c>
      <c r="Y261">
        <v>59</v>
      </c>
      <c r="Z261">
        <v>59</v>
      </c>
      <c r="AA261">
        <v>0</v>
      </c>
      <c r="AB261">
        <v>0</v>
      </c>
      <c r="AC261">
        <v>5</v>
      </c>
      <c r="AD261">
        <v>2</v>
      </c>
      <c r="AG261" t="s">
        <v>1</v>
      </c>
      <c r="AH261" t="s">
        <v>435</v>
      </c>
      <c r="AI261">
        <v>357</v>
      </c>
      <c r="AJ261">
        <v>113</v>
      </c>
      <c r="AK261">
        <v>151</v>
      </c>
      <c r="AL261">
        <v>5</v>
      </c>
      <c r="AM261">
        <v>0</v>
      </c>
      <c r="AN261" t="s">
        <v>49</v>
      </c>
      <c r="AO261">
        <v>0.92245370370370372</v>
      </c>
      <c r="AP261">
        <v>181</v>
      </c>
    </row>
    <row r="262" spans="1:42" x14ac:dyDescent="0.35">
      <c r="A262">
        <v>97929</v>
      </c>
      <c r="B262">
        <v>8619</v>
      </c>
      <c r="C262">
        <v>950958</v>
      </c>
      <c r="D262">
        <v>405</v>
      </c>
      <c r="E262" s="147">
        <v>44207</v>
      </c>
      <c r="F262" t="s">
        <v>557</v>
      </c>
      <c r="G262" t="s">
        <v>96</v>
      </c>
      <c r="H262" s="147">
        <v>44213</v>
      </c>
      <c r="I262">
        <v>7</v>
      </c>
      <c r="J262" t="s">
        <v>197</v>
      </c>
      <c r="L262">
        <v>0</v>
      </c>
      <c r="M262">
        <v>0</v>
      </c>
      <c r="U262">
        <v>505</v>
      </c>
      <c r="V262">
        <v>450</v>
      </c>
      <c r="W262">
        <v>0</v>
      </c>
      <c r="X262">
        <v>0</v>
      </c>
      <c r="Y262">
        <v>23</v>
      </c>
      <c r="Z262">
        <v>16</v>
      </c>
      <c r="AA262">
        <v>0</v>
      </c>
      <c r="AB262">
        <v>0</v>
      </c>
      <c r="AC262">
        <v>10</v>
      </c>
      <c r="AD262">
        <v>7</v>
      </c>
      <c r="AG262" t="s">
        <v>224</v>
      </c>
      <c r="AH262" t="s">
        <v>435</v>
      </c>
      <c r="AI262">
        <v>195</v>
      </c>
      <c r="AJ262">
        <v>52</v>
      </c>
      <c r="AK262">
        <v>41</v>
      </c>
      <c r="AL262">
        <v>2</v>
      </c>
      <c r="AM262">
        <v>0</v>
      </c>
      <c r="AN262" t="s">
        <v>49</v>
      </c>
      <c r="AO262">
        <v>0.8910891089108911</v>
      </c>
      <c r="AP262">
        <v>92</v>
      </c>
    </row>
    <row r="263" spans="1:42" x14ac:dyDescent="0.35">
      <c r="A263">
        <v>97932</v>
      </c>
      <c r="B263">
        <v>8619</v>
      </c>
      <c r="C263">
        <v>950961</v>
      </c>
      <c r="D263">
        <v>348</v>
      </c>
      <c r="E263" s="147">
        <v>44207</v>
      </c>
      <c r="F263" t="s">
        <v>558</v>
      </c>
      <c r="G263" t="s">
        <v>129</v>
      </c>
      <c r="H263" s="147">
        <v>44213</v>
      </c>
      <c r="I263">
        <v>7</v>
      </c>
      <c r="J263" t="s">
        <v>197</v>
      </c>
      <c r="L263">
        <v>0</v>
      </c>
      <c r="M263">
        <v>0</v>
      </c>
      <c r="U263">
        <v>590</v>
      </c>
      <c r="V263">
        <v>478</v>
      </c>
      <c r="W263">
        <v>0</v>
      </c>
      <c r="X263">
        <v>0</v>
      </c>
      <c r="Y263">
        <v>18</v>
      </c>
      <c r="Z263">
        <v>18</v>
      </c>
      <c r="AA263">
        <v>0</v>
      </c>
      <c r="AB263">
        <v>0</v>
      </c>
      <c r="AC263">
        <v>7</v>
      </c>
      <c r="AD263">
        <v>5</v>
      </c>
      <c r="AG263" t="s">
        <v>224</v>
      </c>
      <c r="AH263" t="s">
        <v>435</v>
      </c>
      <c r="AI263">
        <v>196</v>
      </c>
      <c r="AJ263">
        <v>63</v>
      </c>
      <c r="AK263">
        <v>91</v>
      </c>
      <c r="AL263">
        <v>5</v>
      </c>
      <c r="AM263">
        <v>0</v>
      </c>
      <c r="AN263" t="s">
        <v>49</v>
      </c>
      <c r="AO263">
        <v>0.81016949152542372</v>
      </c>
      <c r="AP263">
        <v>104</v>
      </c>
    </row>
    <row r="264" spans="1:42" x14ac:dyDescent="0.35">
      <c r="A264">
        <v>97151</v>
      </c>
      <c r="B264">
        <v>8619</v>
      </c>
      <c r="C264">
        <v>950180</v>
      </c>
      <c r="D264">
        <v>469</v>
      </c>
      <c r="E264" s="147">
        <v>44207</v>
      </c>
      <c r="F264" t="s">
        <v>559</v>
      </c>
      <c r="G264" t="s">
        <v>88</v>
      </c>
      <c r="H264" s="147">
        <v>44207</v>
      </c>
      <c r="I264">
        <v>7</v>
      </c>
      <c r="J264" t="s">
        <v>195</v>
      </c>
      <c r="L264">
        <v>0</v>
      </c>
      <c r="M264">
        <v>0</v>
      </c>
      <c r="U264">
        <v>947</v>
      </c>
      <c r="V264">
        <v>813</v>
      </c>
      <c r="W264">
        <v>0</v>
      </c>
      <c r="X264">
        <v>0</v>
      </c>
      <c r="Y264">
        <v>49</v>
      </c>
      <c r="Z264">
        <v>33</v>
      </c>
      <c r="AA264">
        <v>0</v>
      </c>
      <c r="AB264">
        <v>0</v>
      </c>
      <c r="AC264">
        <v>39</v>
      </c>
      <c r="AD264">
        <v>21</v>
      </c>
      <c r="AG264" t="s">
        <v>223</v>
      </c>
      <c r="AH264" t="s">
        <v>435</v>
      </c>
      <c r="AI264">
        <v>374</v>
      </c>
      <c r="AJ264">
        <v>104</v>
      </c>
      <c r="AK264">
        <v>128</v>
      </c>
      <c r="AL264">
        <v>2</v>
      </c>
      <c r="AM264">
        <v>0</v>
      </c>
      <c r="AN264" t="s">
        <v>49</v>
      </c>
      <c r="AO264">
        <v>0.8585005279831045</v>
      </c>
      <c r="AP264">
        <v>175</v>
      </c>
    </row>
    <row r="265" spans="1:42" x14ac:dyDescent="0.35">
      <c r="A265">
        <v>97153</v>
      </c>
      <c r="B265">
        <v>8619</v>
      </c>
      <c r="C265">
        <v>950182</v>
      </c>
      <c r="D265">
        <v>344</v>
      </c>
      <c r="E265" s="147">
        <v>44207</v>
      </c>
      <c r="F265" t="s">
        <v>540</v>
      </c>
      <c r="G265" t="s">
        <v>92</v>
      </c>
      <c r="H265" s="147">
        <v>44207</v>
      </c>
      <c r="I265">
        <v>7</v>
      </c>
      <c r="J265" t="s">
        <v>195</v>
      </c>
      <c r="L265">
        <v>0</v>
      </c>
      <c r="M265">
        <v>0</v>
      </c>
      <c r="U265">
        <v>1246</v>
      </c>
      <c r="V265">
        <v>1129</v>
      </c>
      <c r="W265">
        <v>0</v>
      </c>
      <c r="X265">
        <v>0</v>
      </c>
      <c r="Y265">
        <v>62</v>
      </c>
      <c r="Z265">
        <v>50</v>
      </c>
      <c r="AA265">
        <v>0</v>
      </c>
      <c r="AB265">
        <v>0</v>
      </c>
      <c r="AC265">
        <v>10</v>
      </c>
      <c r="AD265">
        <v>2</v>
      </c>
      <c r="AG265" t="s">
        <v>223</v>
      </c>
      <c r="AH265" t="s">
        <v>435</v>
      </c>
      <c r="AI265">
        <v>472</v>
      </c>
      <c r="AJ265">
        <v>122</v>
      </c>
      <c r="AK265">
        <v>179</v>
      </c>
      <c r="AL265">
        <v>7</v>
      </c>
      <c r="AM265">
        <v>0</v>
      </c>
      <c r="AN265" t="s">
        <v>49</v>
      </c>
      <c r="AO265">
        <v>0.906099518459069</v>
      </c>
      <c r="AP265">
        <v>235</v>
      </c>
    </row>
    <row r="266" spans="1:42" x14ac:dyDescent="0.35">
      <c r="A266">
        <v>97288</v>
      </c>
      <c r="B266">
        <v>8619</v>
      </c>
      <c r="C266">
        <v>950317</v>
      </c>
      <c r="D266">
        <v>304</v>
      </c>
      <c r="E266" s="147">
        <v>44207</v>
      </c>
      <c r="F266" t="s">
        <v>532</v>
      </c>
      <c r="G266" t="s">
        <v>262</v>
      </c>
      <c r="H266" s="147">
        <v>44208</v>
      </c>
      <c r="I266">
        <v>7</v>
      </c>
      <c r="J266" t="s">
        <v>199</v>
      </c>
      <c r="L266">
        <v>0</v>
      </c>
      <c r="M266">
        <v>0</v>
      </c>
      <c r="U266">
        <v>445</v>
      </c>
      <c r="V266">
        <v>381</v>
      </c>
      <c r="W266">
        <v>0</v>
      </c>
      <c r="X266">
        <v>0</v>
      </c>
      <c r="Y266">
        <v>27</v>
      </c>
      <c r="Z266">
        <v>27</v>
      </c>
      <c r="AA266">
        <v>0</v>
      </c>
      <c r="AB266">
        <v>0</v>
      </c>
      <c r="AC266">
        <v>4</v>
      </c>
      <c r="AD266">
        <v>3</v>
      </c>
      <c r="AG266" t="s">
        <v>223</v>
      </c>
      <c r="AH266" t="s">
        <v>435</v>
      </c>
      <c r="AI266">
        <v>183</v>
      </c>
      <c r="AJ266">
        <v>51</v>
      </c>
      <c r="AK266">
        <v>38</v>
      </c>
      <c r="AL266">
        <v>2</v>
      </c>
      <c r="AM266">
        <v>0</v>
      </c>
      <c r="AN266" t="s">
        <v>49</v>
      </c>
      <c r="AO266">
        <v>0.85617977528089884</v>
      </c>
      <c r="AP266">
        <v>90</v>
      </c>
    </row>
    <row r="267" spans="1:42" x14ac:dyDescent="0.35">
      <c r="A267">
        <v>97291</v>
      </c>
      <c r="B267">
        <v>8619</v>
      </c>
      <c r="C267">
        <v>950320</v>
      </c>
      <c r="D267">
        <v>538</v>
      </c>
      <c r="E267" s="147">
        <v>44207</v>
      </c>
      <c r="F267" t="s">
        <v>560</v>
      </c>
      <c r="G267" t="s">
        <v>166</v>
      </c>
      <c r="H267" s="147">
        <v>44208</v>
      </c>
      <c r="I267">
        <v>7</v>
      </c>
      <c r="J267" t="s">
        <v>199</v>
      </c>
      <c r="L267">
        <v>0</v>
      </c>
      <c r="M267">
        <v>0</v>
      </c>
      <c r="U267">
        <v>838</v>
      </c>
      <c r="V267">
        <v>767</v>
      </c>
      <c r="W267">
        <v>0</v>
      </c>
      <c r="X267">
        <v>0</v>
      </c>
      <c r="Y267">
        <v>55</v>
      </c>
      <c r="Z267">
        <v>42</v>
      </c>
      <c r="AA267">
        <v>0</v>
      </c>
      <c r="AB267">
        <v>0</v>
      </c>
      <c r="AC267">
        <v>24</v>
      </c>
      <c r="AD267">
        <v>8</v>
      </c>
      <c r="AG267" t="s">
        <v>223</v>
      </c>
      <c r="AH267" t="s">
        <v>435</v>
      </c>
      <c r="AI267">
        <v>324</v>
      </c>
      <c r="AJ267">
        <v>93</v>
      </c>
      <c r="AK267">
        <v>118</v>
      </c>
      <c r="AL267">
        <v>9</v>
      </c>
      <c r="AM267">
        <v>0</v>
      </c>
      <c r="AN267" t="s">
        <v>49</v>
      </c>
      <c r="AO267">
        <v>0.91527446300715987</v>
      </c>
      <c r="AP267">
        <v>151</v>
      </c>
    </row>
    <row r="268" spans="1:42" x14ac:dyDescent="0.35">
      <c r="A268">
        <v>97403</v>
      </c>
      <c r="B268">
        <v>8619</v>
      </c>
      <c r="C268">
        <v>950432</v>
      </c>
      <c r="D268">
        <v>512</v>
      </c>
      <c r="E268" s="147">
        <v>44207</v>
      </c>
      <c r="F268" t="s">
        <v>523</v>
      </c>
      <c r="G268" t="s">
        <v>75</v>
      </c>
      <c r="H268" s="147">
        <v>44209</v>
      </c>
      <c r="I268">
        <v>7</v>
      </c>
      <c r="J268" t="s">
        <v>200</v>
      </c>
      <c r="L268">
        <v>0</v>
      </c>
      <c r="M268">
        <v>0</v>
      </c>
      <c r="U268">
        <v>410</v>
      </c>
      <c r="V268">
        <v>382</v>
      </c>
      <c r="W268">
        <v>0</v>
      </c>
      <c r="X268">
        <v>0</v>
      </c>
      <c r="Y268">
        <v>24</v>
      </c>
      <c r="Z268">
        <v>24</v>
      </c>
      <c r="AA268">
        <v>0</v>
      </c>
      <c r="AB268">
        <v>0</v>
      </c>
      <c r="AC268">
        <v>7</v>
      </c>
      <c r="AD268">
        <v>7</v>
      </c>
      <c r="AG268" t="s">
        <v>223</v>
      </c>
      <c r="AH268" t="s">
        <v>435</v>
      </c>
      <c r="AI268">
        <v>145</v>
      </c>
      <c r="AJ268">
        <v>47</v>
      </c>
      <c r="AK268">
        <v>56</v>
      </c>
      <c r="AL268">
        <v>3</v>
      </c>
      <c r="AM268">
        <v>0</v>
      </c>
      <c r="AN268" t="s">
        <v>49</v>
      </c>
      <c r="AO268">
        <v>0.93170731707317078</v>
      </c>
      <c r="AP268">
        <v>79</v>
      </c>
    </row>
    <row r="269" spans="1:42" x14ac:dyDescent="0.35">
      <c r="A269">
        <v>97405</v>
      </c>
      <c r="B269">
        <v>8619</v>
      </c>
      <c r="C269">
        <v>950434</v>
      </c>
      <c r="D269">
        <v>469</v>
      </c>
      <c r="E269" s="147">
        <v>44207</v>
      </c>
      <c r="F269" t="s">
        <v>559</v>
      </c>
      <c r="G269" t="s">
        <v>88</v>
      </c>
      <c r="H269" s="147">
        <v>44209</v>
      </c>
      <c r="I269">
        <v>7</v>
      </c>
      <c r="J269" t="s">
        <v>200</v>
      </c>
      <c r="L269">
        <v>0</v>
      </c>
      <c r="M269">
        <v>0</v>
      </c>
      <c r="U269">
        <v>948</v>
      </c>
      <c r="V269">
        <v>836</v>
      </c>
      <c r="W269">
        <v>0</v>
      </c>
      <c r="X269">
        <v>0</v>
      </c>
      <c r="Y269">
        <v>49</v>
      </c>
      <c r="Z269">
        <v>34</v>
      </c>
      <c r="AA269">
        <v>0</v>
      </c>
      <c r="AB269">
        <v>0</v>
      </c>
      <c r="AC269">
        <v>39</v>
      </c>
      <c r="AD269">
        <v>22</v>
      </c>
      <c r="AG269" t="s">
        <v>223</v>
      </c>
      <c r="AH269" t="s">
        <v>435</v>
      </c>
      <c r="AI269">
        <v>369</v>
      </c>
      <c r="AJ269">
        <v>104</v>
      </c>
      <c r="AK269">
        <v>154</v>
      </c>
      <c r="AL269">
        <v>10</v>
      </c>
      <c r="AM269">
        <v>0</v>
      </c>
      <c r="AN269" t="s">
        <v>49</v>
      </c>
      <c r="AO269">
        <v>0.88185654008438819</v>
      </c>
      <c r="AP269">
        <v>182</v>
      </c>
    </row>
    <row r="270" spans="1:42" x14ac:dyDescent="0.35">
      <c r="A270">
        <v>97542</v>
      </c>
      <c r="B270">
        <v>8619</v>
      </c>
      <c r="C270">
        <v>950571</v>
      </c>
      <c r="D270">
        <v>304</v>
      </c>
      <c r="E270" s="147">
        <v>44207</v>
      </c>
      <c r="F270" t="s">
        <v>532</v>
      </c>
      <c r="G270" t="s">
        <v>262</v>
      </c>
      <c r="H270" s="147">
        <v>44210</v>
      </c>
      <c r="I270">
        <v>7</v>
      </c>
      <c r="J270" t="s">
        <v>198</v>
      </c>
      <c r="L270">
        <v>0</v>
      </c>
      <c r="M270">
        <v>0</v>
      </c>
      <c r="U270">
        <v>418</v>
      </c>
      <c r="V270">
        <v>364</v>
      </c>
      <c r="W270">
        <v>0</v>
      </c>
      <c r="X270">
        <v>0</v>
      </c>
      <c r="Y270">
        <v>27</v>
      </c>
      <c r="Z270">
        <v>26</v>
      </c>
      <c r="AA270">
        <v>0</v>
      </c>
      <c r="AB270">
        <v>0</v>
      </c>
      <c r="AC270">
        <v>4</v>
      </c>
      <c r="AD270">
        <v>3</v>
      </c>
      <c r="AG270" t="s">
        <v>223</v>
      </c>
      <c r="AH270" t="s">
        <v>435</v>
      </c>
      <c r="AI270">
        <v>180</v>
      </c>
      <c r="AJ270">
        <v>52</v>
      </c>
      <c r="AK270">
        <v>49</v>
      </c>
      <c r="AL270">
        <v>10</v>
      </c>
      <c r="AM270">
        <v>0</v>
      </c>
      <c r="AN270" t="s">
        <v>49</v>
      </c>
      <c r="AO270">
        <v>0.87081339712918659</v>
      </c>
      <c r="AP270">
        <v>85</v>
      </c>
    </row>
    <row r="271" spans="1:42" x14ac:dyDescent="0.35">
      <c r="A271">
        <v>97545</v>
      </c>
      <c r="B271">
        <v>8619</v>
      </c>
      <c r="C271">
        <v>950574</v>
      </c>
      <c r="D271">
        <v>538</v>
      </c>
      <c r="E271" s="147">
        <v>44207</v>
      </c>
      <c r="F271" t="s">
        <v>560</v>
      </c>
      <c r="G271" t="s">
        <v>166</v>
      </c>
      <c r="H271" s="147">
        <v>44210</v>
      </c>
      <c r="I271">
        <v>7</v>
      </c>
      <c r="J271" t="s">
        <v>198</v>
      </c>
      <c r="L271">
        <v>0</v>
      </c>
      <c r="M271">
        <v>0</v>
      </c>
      <c r="U271">
        <v>844</v>
      </c>
      <c r="V271">
        <v>772</v>
      </c>
      <c r="W271">
        <v>0</v>
      </c>
      <c r="X271">
        <v>0</v>
      </c>
      <c r="Y271">
        <v>56</v>
      </c>
      <c r="Z271">
        <v>40</v>
      </c>
      <c r="AA271">
        <v>0</v>
      </c>
      <c r="AB271">
        <v>0</v>
      </c>
      <c r="AC271">
        <v>24</v>
      </c>
      <c r="AD271">
        <v>10</v>
      </c>
      <c r="AG271" t="s">
        <v>223</v>
      </c>
      <c r="AH271" t="s">
        <v>435</v>
      </c>
      <c r="AI271">
        <v>324</v>
      </c>
      <c r="AJ271">
        <v>91</v>
      </c>
      <c r="AK271">
        <v>131</v>
      </c>
      <c r="AL271">
        <v>7</v>
      </c>
      <c r="AM271">
        <v>0</v>
      </c>
      <c r="AN271" t="s">
        <v>49</v>
      </c>
      <c r="AO271">
        <v>0.91469194312796209</v>
      </c>
      <c r="AP271">
        <v>154</v>
      </c>
    </row>
    <row r="272" spans="1:42" x14ac:dyDescent="0.35">
      <c r="A272">
        <v>97661</v>
      </c>
      <c r="B272">
        <v>8619</v>
      </c>
      <c r="C272">
        <v>950690</v>
      </c>
      <c r="D272">
        <v>344</v>
      </c>
      <c r="E272" s="147">
        <v>44207</v>
      </c>
      <c r="F272" t="s">
        <v>540</v>
      </c>
      <c r="G272" t="s">
        <v>92</v>
      </c>
      <c r="H272" s="147">
        <v>44211</v>
      </c>
      <c r="I272">
        <v>7</v>
      </c>
      <c r="J272" t="s">
        <v>194</v>
      </c>
      <c r="L272">
        <v>0</v>
      </c>
      <c r="M272">
        <v>0</v>
      </c>
      <c r="U272">
        <v>1231</v>
      </c>
      <c r="V272">
        <v>1040</v>
      </c>
      <c r="W272">
        <v>0</v>
      </c>
      <c r="X272">
        <v>0</v>
      </c>
      <c r="Y272">
        <v>58</v>
      </c>
      <c r="Z272">
        <v>55</v>
      </c>
      <c r="AA272">
        <v>0</v>
      </c>
      <c r="AB272">
        <v>0</v>
      </c>
      <c r="AC272">
        <v>10</v>
      </c>
      <c r="AD272">
        <v>2</v>
      </c>
      <c r="AG272" t="s">
        <v>223</v>
      </c>
      <c r="AH272" t="s">
        <v>435</v>
      </c>
      <c r="AI272">
        <v>501</v>
      </c>
      <c r="AJ272">
        <v>130</v>
      </c>
      <c r="AK272">
        <v>200</v>
      </c>
      <c r="AL272">
        <v>3</v>
      </c>
      <c r="AM272">
        <v>0</v>
      </c>
      <c r="AN272" t="s">
        <v>49</v>
      </c>
      <c r="AO272">
        <v>0.84484159220146227</v>
      </c>
      <c r="AP272">
        <v>233</v>
      </c>
    </row>
    <row r="273" spans="1:42" x14ac:dyDescent="0.35">
      <c r="A273">
        <v>97667</v>
      </c>
      <c r="B273">
        <v>8619</v>
      </c>
      <c r="C273">
        <v>950696</v>
      </c>
      <c r="D273">
        <v>370</v>
      </c>
      <c r="E273" s="147">
        <v>44207</v>
      </c>
      <c r="F273" t="s">
        <v>561</v>
      </c>
      <c r="G273" t="s">
        <v>433</v>
      </c>
      <c r="H273" s="147">
        <v>44211</v>
      </c>
      <c r="I273">
        <v>7</v>
      </c>
      <c r="J273" t="s">
        <v>194</v>
      </c>
      <c r="L273">
        <v>0</v>
      </c>
      <c r="M273">
        <v>0</v>
      </c>
      <c r="U273">
        <v>963</v>
      </c>
      <c r="V273">
        <v>890</v>
      </c>
      <c r="W273">
        <v>0</v>
      </c>
      <c r="X273">
        <v>0</v>
      </c>
      <c r="Y273">
        <v>56</v>
      </c>
      <c r="Z273">
        <v>56</v>
      </c>
      <c r="AA273">
        <v>0</v>
      </c>
      <c r="AB273">
        <v>0</v>
      </c>
      <c r="AC273">
        <v>20</v>
      </c>
      <c r="AD273">
        <v>20</v>
      </c>
      <c r="AG273" t="s">
        <v>223</v>
      </c>
      <c r="AH273" t="s">
        <v>435</v>
      </c>
      <c r="AI273">
        <v>419</v>
      </c>
      <c r="AJ273">
        <v>119</v>
      </c>
      <c r="AK273">
        <v>129</v>
      </c>
      <c r="AL273">
        <v>10</v>
      </c>
      <c r="AM273">
        <v>0</v>
      </c>
      <c r="AN273" t="s">
        <v>49</v>
      </c>
      <c r="AO273">
        <v>0.92419522326064385</v>
      </c>
      <c r="AP273">
        <v>228</v>
      </c>
    </row>
    <row r="274" spans="1:42" x14ac:dyDescent="0.35">
      <c r="A274">
        <v>97669</v>
      </c>
      <c r="B274">
        <v>8619</v>
      </c>
      <c r="C274">
        <v>950698</v>
      </c>
      <c r="D274">
        <v>304</v>
      </c>
      <c r="E274" s="147">
        <v>44207</v>
      </c>
      <c r="F274" t="s">
        <v>532</v>
      </c>
      <c r="G274" t="s">
        <v>262</v>
      </c>
      <c r="H274" s="147">
        <v>44211</v>
      </c>
      <c r="I274">
        <v>7</v>
      </c>
      <c r="J274" t="s">
        <v>194</v>
      </c>
      <c r="L274">
        <v>0</v>
      </c>
      <c r="M274">
        <v>0</v>
      </c>
      <c r="U274">
        <v>416</v>
      </c>
      <c r="V274">
        <v>355</v>
      </c>
      <c r="W274">
        <v>0</v>
      </c>
      <c r="X274">
        <v>0</v>
      </c>
      <c r="Y274">
        <v>27</v>
      </c>
      <c r="Z274">
        <v>26</v>
      </c>
      <c r="AA274">
        <v>0</v>
      </c>
      <c r="AB274">
        <v>0</v>
      </c>
      <c r="AC274">
        <v>4</v>
      </c>
      <c r="AD274">
        <v>3</v>
      </c>
      <c r="AG274" t="s">
        <v>223</v>
      </c>
      <c r="AH274" t="s">
        <v>435</v>
      </c>
      <c r="AI274">
        <v>172</v>
      </c>
      <c r="AJ274">
        <v>52</v>
      </c>
      <c r="AK274">
        <v>41</v>
      </c>
      <c r="AL274">
        <v>2</v>
      </c>
      <c r="AM274">
        <v>0</v>
      </c>
      <c r="AN274" t="s">
        <v>49</v>
      </c>
      <c r="AO274">
        <v>0.85336538461538458</v>
      </c>
      <c r="AP274">
        <v>83</v>
      </c>
    </row>
    <row r="275" spans="1:42" x14ac:dyDescent="0.35">
      <c r="A275">
        <v>97672</v>
      </c>
      <c r="B275">
        <v>8619</v>
      </c>
      <c r="C275">
        <v>950701</v>
      </c>
      <c r="D275">
        <v>538</v>
      </c>
      <c r="E275" s="147">
        <v>44207</v>
      </c>
      <c r="F275" t="s">
        <v>560</v>
      </c>
      <c r="G275" t="s">
        <v>166</v>
      </c>
      <c r="H275" s="147">
        <v>44211</v>
      </c>
      <c r="I275">
        <v>7</v>
      </c>
      <c r="J275" t="s">
        <v>194</v>
      </c>
      <c r="L275">
        <v>0</v>
      </c>
      <c r="M275">
        <v>0</v>
      </c>
      <c r="U275">
        <v>850</v>
      </c>
      <c r="V275">
        <v>740</v>
      </c>
      <c r="W275">
        <v>0</v>
      </c>
      <c r="X275">
        <v>0</v>
      </c>
      <c r="Y275">
        <v>56</v>
      </c>
      <c r="Z275">
        <v>39</v>
      </c>
      <c r="AA275">
        <v>0</v>
      </c>
      <c r="AB275">
        <v>0</v>
      </c>
      <c r="AC275">
        <v>24</v>
      </c>
      <c r="AD275">
        <v>12</v>
      </c>
      <c r="AG275" t="s">
        <v>223</v>
      </c>
      <c r="AH275" t="s">
        <v>435</v>
      </c>
      <c r="AI275">
        <v>321</v>
      </c>
      <c r="AJ275">
        <v>81</v>
      </c>
      <c r="AK275">
        <v>112</v>
      </c>
      <c r="AL275">
        <v>2</v>
      </c>
      <c r="AM275">
        <v>0</v>
      </c>
      <c r="AN275" t="s">
        <v>49</v>
      </c>
      <c r="AO275">
        <v>0.87058823529411766</v>
      </c>
      <c r="AP275">
        <v>152</v>
      </c>
    </row>
    <row r="276" spans="1:42" x14ac:dyDescent="0.35">
      <c r="A276">
        <v>97796</v>
      </c>
      <c r="B276">
        <v>8619</v>
      </c>
      <c r="C276">
        <v>950825</v>
      </c>
      <c r="D276">
        <v>304</v>
      </c>
      <c r="E276" s="147">
        <v>44207</v>
      </c>
      <c r="F276" t="s">
        <v>532</v>
      </c>
      <c r="G276" t="s">
        <v>262</v>
      </c>
      <c r="H276" s="147">
        <v>44212</v>
      </c>
      <c r="I276">
        <v>7</v>
      </c>
      <c r="J276" t="s">
        <v>196</v>
      </c>
      <c r="L276">
        <v>0</v>
      </c>
      <c r="M276">
        <v>0</v>
      </c>
      <c r="U276">
        <v>424</v>
      </c>
      <c r="V276">
        <v>339</v>
      </c>
      <c r="W276">
        <v>0</v>
      </c>
      <c r="X276">
        <v>0</v>
      </c>
      <c r="Y276">
        <v>27</v>
      </c>
      <c r="Z276">
        <v>26</v>
      </c>
      <c r="AA276">
        <v>0</v>
      </c>
      <c r="AB276">
        <v>0</v>
      </c>
      <c r="AC276">
        <v>4</v>
      </c>
      <c r="AD276">
        <v>3</v>
      </c>
      <c r="AG276" t="s">
        <v>223</v>
      </c>
      <c r="AH276" t="s">
        <v>435</v>
      </c>
      <c r="AI276">
        <v>178</v>
      </c>
      <c r="AJ276">
        <v>52</v>
      </c>
      <c r="AK276">
        <v>47</v>
      </c>
      <c r="AL276">
        <v>1</v>
      </c>
      <c r="AM276">
        <v>0</v>
      </c>
      <c r="AN276" t="s">
        <v>49</v>
      </c>
      <c r="AO276">
        <v>0.79952830188679247</v>
      </c>
      <c r="AP276">
        <v>85</v>
      </c>
    </row>
    <row r="277" spans="1:42" x14ac:dyDescent="0.35">
      <c r="A277">
        <v>97909</v>
      </c>
      <c r="B277">
        <v>8619</v>
      </c>
      <c r="C277">
        <v>950938</v>
      </c>
      <c r="D277">
        <v>455</v>
      </c>
      <c r="E277" s="147">
        <v>44207</v>
      </c>
      <c r="F277" t="s">
        <v>544</v>
      </c>
      <c r="G277" t="s">
        <v>66</v>
      </c>
      <c r="H277" s="147">
        <v>44213</v>
      </c>
      <c r="I277">
        <v>7</v>
      </c>
      <c r="J277" t="s">
        <v>197</v>
      </c>
      <c r="L277">
        <v>0</v>
      </c>
      <c r="M277">
        <v>0</v>
      </c>
      <c r="U277">
        <v>485</v>
      </c>
      <c r="V277">
        <v>416</v>
      </c>
      <c r="W277">
        <v>0</v>
      </c>
      <c r="X277">
        <v>0</v>
      </c>
      <c r="Y277">
        <v>34</v>
      </c>
      <c r="Z277">
        <v>29</v>
      </c>
      <c r="AA277">
        <v>0</v>
      </c>
      <c r="AB277">
        <v>0</v>
      </c>
      <c r="AC277">
        <v>8</v>
      </c>
      <c r="AD277">
        <v>2</v>
      </c>
      <c r="AG277" t="s">
        <v>223</v>
      </c>
      <c r="AH277" t="s">
        <v>435</v>
      </c>
      <c r="AI277">
        <v>196</v>
      </c>
      <c r="AJ277">
        <v>54</v>
      </c>
      <c r="AK277">
        <v>76</v>
      </c>
      <c r="AL277">
        <v>2</v>
      </c>
      <c r="AM277">
        <v>0</v>
      </c>
      <c r="AN277" t="s">
        <v>49</v>
      </c>
      <c r="AO277">
        <v>0.85773195876288655</v>
      </c>
      <c r="AP277">
        <v>87</v>
      </c>
    </row>
    <row r="278" spans="1:42" x14ac:dyDescent="0.35">
      <c r="A278">
        <v>97915</v>
      </c>
      <c r="B278">
        <v>8619</v>
      </c>
      <c r="C278">
        <v>950944</v>
      </c>
      <c r="D278">
        <v>344</v>
      </c>
      <c r="E278" s="147">
        <v>44207</v>
      </c>
      <c r="F278" t="s">
        <v>540</v>
      </c>
      <c r="G278" t="s">
        <v>92</v>
      </c>
      <c r="H278" s="147">
        <v>44213</v>
      </c>
      <c r="I278">
        <v>7</v>
      </c>
      <c r="J278" t="s">
        <v>197</v>
      </c>
      <c r="L278">
        <v>0</v>
      </c>
      <c r="M278">
        <v>0</v>
      </c>
      <c r="U278">
        <v>1217</v>
      </c>
      <c r="V278">
        <v>1032</v>
      </c>
      <c r="W278">
        <v>0</v>
      </c>
      <c r="X278">
        <v>0</v>
      </c>
      <c r="Y278">
        <v>64</v>
      </c>
      <c r="Z278">
        <v>54</v>
      </c>
      <c r="AA278">
        <v>0</v>
      </c>
      <c r="AB278">
        <v>0</v>
      </c>
      <c r="AC278">
        <v>10</v>
      </c>
      <c r="AD278">
        <v>2</v>
      </c>
      <c r="AG278" t="s">
        <v>223</v>
      </c>
      <c r="AH278" t="s">
        <v>435</v>
      </c>
      <c r="AI278">
        <v>489</v>
      </c>
      <c r="AJ278">
        <v>117</v>
      </c>
      <c r="AK278">
        <v>209</v>
      </c>
      <c r="AL278">
        <v>2</v>
      </c>
      <c r="AM278">
        <v>0</v>
      </c>
      <c r="AN278" t="s">
        <v>49</v>
      </c>
      <c r="AO278">
        <v>0.84798685291700904</v>
      </c>
      <c r="AP278">
        <v>205</v>
      </c>
    </row>
    <row r="279" spans="1:42" x14ac:dyDescent="0.35">
      <c r="A279">
        <v>97921</v>
      </c>
      <c r="B279">
        <v>8619</v>
      </c>
      <c r="C279">
        <v>950950</v>
      </c>
      <c r="D279">
        <v>370</v>
      </c>
      <c r="E279" s="147">
        <v>44207</v>
      </c>
      <c r="F279" t="s">
        <v>561</v>
      </c>
      <c r="G279" t="s">
        <v>433</v>
      </c>
      <c r="H279" s="147">
        <v>44213</v>
      </c>
      <c r="I279">
        <v>7</v>
      </c>
      <c r="J279" t="s">
        <v>197</v>
      </c>
      <c r="L279">
        <v>0</v>
      </c>
      <c r="M279">
        <v>0</v>
      </c>
      <c r="U279">
        <v>947</v>
      </c>
      <c r="V279">
        <v>853</v>
      </c>
      <c r="W279">
        <v>0</v>
      </c>
      <c r="X279">
        <v>0</v>
      </c>
      <c r="Y279">
        <v>58</v>
      </c>
      <c r="Z279">
        <v>58</v>
      </c>
      <c r="AA279">
        <v>0</v>
      </c>
      <c r="AB279">
        <v>0</v>
      </c>
      <c r="AC279">
        <v>20</v>
      </c>
      <c r="AD279">
        <v>20</v>
      </c>
      <c r="AG279" t="s">
        <v>223</v>
      </c>
      <c r="AH279" t="s">
        <v>435</v>
      </c>
      <c r="AI279">
        <v>406</v>
      </c>
      <c r="AJ279">
        <v>122</v>
      </c>
      <c r="AK279">
        <v>141</v>
      </c>
      <c r="AL279">
        <v>14</v>
      </c>
      <c r="AM279">
        <v>0</v>
      </c>
      <c r="AN279" t="s">
        <v>49</v>
      </c>
      <c r="AO279">
        <v>0.90073917634635692</v>
      </c>
      <c r="AP279">
        <v>221</v>
      </c>
    </row>
    <row r="280" spans="1:42" x14ac:dyDescent="0.35">
      <c r="A280">
        <v>97923</v>
      </c>
      <c r="B280">
        <v>8619</v>
      </c>
      <c r="C280">
        <v>950952</v>
      </c>
      <c r="D280">
        <v>304</v>
      </c>
      <c r="E280" s="147">
        <v>44207</v>
      </c>
      <c r="F280" t="s">
        <v>532</v>
      </c>
      <c r="G280" t="s">
        <v>262</v>
      </c>
      <c r="H280" s="147">
        <v>44213</v>
      </c>
      <c r="I280">
        <v>7</v>
      </c>
      <c r="J280" t="s">
        <v>197</v>
      </c>
      <c r="L280">
        <v>0</v>
      </c>
      <c r="M280">
        <v>0</v>
      </c>
      <c r="U280">
        <v>412</v>
      </c>
      <c r="V280">
        <v>322</v>
      </c>
      <c r="W280">
        <v>0</v>
      </c>
      <c r="X280">
        <v>0</v>
      </c>
      <c r="Y280">
        <v>27</v>
      </c>
      <c r="Z280">
        <v>27</v>
      </c>
      <c r="AA280">
        <v>0</v>
      </c>
      <c r="AB280">
        <v>0</v>
      </c>
      <c r="AC280">
        <v>4</v>
      </c>
      <c r="AD280">
        <v>3</v>
      </c>
      <c r="AG280" t="s">
        <v>223</v>
      </c>
      <c r="AH280" t="s">
        <v>435</v>
      </c>
      <c r="AI280">
        <v>169</v>
      </c>
      <c r="AJ280">
        <v>51</v>
      </c>
      <c r="AK280">
        <v>44</v>
      </c>
      <c r="AL280">
        <v>1</v>
      </c>
      <c r="AM280">
        <v>0</v>
      </c>
      <c r="AN280" t="s">
        <v>49</v>
      </c>
      <c r="AO280">
        <v>0.78155339805825241</v>
      </c>
      <c r="AP280">
        <v>87</v>
      </c>
    </row>
    <row r="281" spans="1:42" x14ac:dyDescent="0.35">
      <c r="A281">
        <v>97926</v>
      </c>
      <c r="B281">
        <v>8619</v>
      </c>
      <c r="C281">
        <v>950955</v>
      </c>
      <c r="D281">
        <v>538</v>
      </c>
      <c r="E281" s="147">
        <v>44207</v>
      </c>
      <c r="F281" t="s">
        <v>560</v>
      </c>
      <c r="G281" t="s">
        <v>166</v>
      </c>
      <c r="H281" s="147">
        <v>44213</v>
      </c>
      <c r="I281">
        <v>7</v>
      </c>
      <c r="J281" t="s">
        <v>197</v>
      </c>
      <c r="L281">
        <v>0</v>
      </c>
      <c r="M281">
        <v>0</v>
      </c>
      <c r="U281">
        <v>862</v>
      </c>
      <c r="V281">
        <v>750</v>
      </c>
      <c r="W281">
        <v>0</v>
      </c>
      <c r="X281">
        <v>0</v>
      </c>
      <c r="Y281">
        <v>56</v>
      </c>
      <c r="Z281">
        <v>41</v>
      </c>
      <c r="AA281">
        <v>0</v>
      </c>
      <c r="AB281">
        <v>0</v>
      </c>
      <c r="AC281">
        <v>24</v>
      </c>
      <c r="AD281">
        <v>13</v>
      </c>
      <c r="AG281" t="s">
        <v>223</v>
      </c>
      <c r="AH281" t="s">
        <v>435</v>
      </c>
      <c r="AI281">
        <v>337</v>
      </c>
      <c r="AJ281">
        <v>81</v>
      </c>
      <c r="AK281">
        <v>118</v>
      </c>
      <c r="AL281">
        <v>5</v>
      </c>
      <c r="AM281">
        <v>0</v>
      </c>
      <c r="AN281" t="s">
        <v>49</v>
      </c>
      <c r="AO281">
        <v>0.87006960556844548</v>
      </c>
      <c r="AP281">
        <v>157</v>
      </c>
    </row>
    <row r="282" spans="1:42" x14ac:dyDescent="0.35">
      <c r="A282">
        <v>97085</v>
      </c>
      <c r="B282">
        <v>8619</v>
      </c>
      <c r="C282">
        <v>950114</v>
      </c>
      <c r="D282">
        <v>356</v>
      </c>
      <c r="E282" s="147">
        <v>44207</v>
      </c>
      <c r="F282" t="s">
        <v>517</v>
      </c>
      <c r="G282" t="s">
        <v>79</v>
      </c>
      <c r="H282" s="147">
        <v>44207</v>
      </c>
      <c r="I282">
        <v>7</v>
      </c>
      <c r="J282" t="s">
        <v>195</v>
      </c>
      <c r="L282">
        <v>0</v>
      </c>
      <c r="M282">
        <v>0</v>
      </c>
      <c r="U282">
        <v>518</v>
      </c>
      <c r="V282">
        <v>478</v>
      </c>
      <c r="W282">
        <v>0</v>
      </c>
      <c r="X282">
        <v>0</v>
      </c>
      <c r="Y282">
        <v>22</v>
      </c>
      <c r="Z282">
        <v>22</v>
      </c>
      <c r="AA282">
        <v>0</v>
      </c>
      <c r="AB282">
        <v>0</v>
      </c>
      <c r="AC282">
        <v>3</v>
      </c>
      <c r="AD282">
        <v>1</v>
      </c>
      <c r="AG282" t="s">
        <v>226</v>
      </c>
      <c r="AH282" t="s">
        <v>435</v>
      </c>
      <c r="AI282">
        <v>148</v>
      </c>
      <c r="AJ282">
        <v>31</v>
      </c>
      <c r="AK282">
        <v>83</v>
      </c>
      <c r="AL282">
        <v>11</v>
      </c>
      <c r="AM282">
        <v>0</v>
      </c>
      <c r="AN282" t="s">
        <v>49</v>
      </c>
      <c r="AO282">
        <v>0.92277992277992282</v>
      </c>
      <c r="AP282">
        <v>64</v>
      </c>
    </row>
    <row r="283" spans="1:42" x14ac:dyDescent="0.35">
      <c r="A283">
        <v>97091</v>
      </c>
      <c r="B283">
        <v>8619</v>
      </c>
      <c r="C283">
        <v>950120</v>
      </c>
      <c r="D283">
        <v>387</v>
      </c>
      <c r="E283" s="147">
        <v>44207</v>
      </c>
      <c r="F283" t="s">
        <v>562</v>
      </c>
      <c r="G283" t="s">
        <v>138</v>
      </c>
      <c r="H283" s="147">
        <v>44207</v>
      </c>
      <c r="I283">
        <v>7</v>
      </c>
      <c r="J283" t="s">
        <v>195</v>
      </c>
      <c r="L283">
        <v>0</v>
      </c>
      <c r="M283">
        <v>0</v>
      </c>
      <c r="U283">
        <v>592</v>
      </c>
      <c r="V283">
        <v>543</v>
      </c>
      <c r="W283">
        <v>0</v>
      </c>
      <c r="X283">
        <v>0</v>
      </c>
      <c r="Y283">
        <v>24</v>
      </c>
      <c r="Z283">
        <v>22</v>
      </c>
      <c r="AA283">
        <v>0</v>
      </c>
      <c r="AB283">
        <v>0</v>
      </c>
      <c r="AC283">
        <v>10</v>
      </c>
      <c r="AD283">
        <v>3</v>
      </c>
      <c r="AG283" t="s">
        <v>226</v>
      </c>
      <c r="AH283" t="s">
        <v>435</v>
      </c>
      <c r="AI283">
        <v>238</v>
      </c>
      <c r="AJ283">
        <v>57</v>
      </c>
      <c r="AK283">
        <v>117</v>
      </c>
      <c r="AL283">
        <v>3</v>
      </c>
      <c r="AM283">
        <v>0</v>
      </c>
      <c r="AN283" t="s">
        <v>49</v>
      </c>
      <c r="AO283">
        <v>0.91722972972972971</v>
      </c>
      <c r="AP283">
        <v>116</v>
      </c>
    </row>
    <row r="284" spans="1:42" x14ac:dyDescent="0.35">
      <c r="A284">
        <v>97212</v>
      </c>
      <c r="B284">
        <v>8619</v>
      </c>
      <c r="C284">
        <v>950241</v>
      </c>
      <c r="D284">
        <v>356</v>
      </c>
      <c r="E284" s="147">
        <v>44207</v>
      </c>
      <c r="F284" t="s">
        <v>517</v>
      </c>
      <c r="G284" t="s">
        <v>79</v>
      </c>
      <c r="H284" s="147">
        <v>44208</v>
      </c>
      <c r="I284">
        <v>7</v>
      </c>
      <c r="J284" t="s">
        <v>199</v>
      </c>
      <c r="L284">
        <v>0</v>
      </c>
      <c r="M284">
        <v>0</v>
      </c>
      <c r="U284">
        <v>511</v>
      </c>
      <c r="V284">
        <v>467</v>
      </c>
      <c r="W284">
        <v>0</v>
      </c>
      <c r="X284">
        <v>0</v>
      </c>
      <c r="Y284">
        <v>22</v>
      </c>
      <c r="Z284">
        <v>22</v>
      </c>
      <c r="AA284">
        <v>0</v>
      </c>
      <c r="AB284">
        <v>0</v>
      </c>
      <c r="AC284">
        <v>3</v>
      </c>
      <c r="AD284">
        <v>1</v>
      </c>
      <c r="AG284" t="s">
        <v>226</v>
      </c>
      <c r="AH284" t="s">
        <v>435</v>
      </c>
      <c r="AI284">
        <v>163</v>
      </c>
      <c r="AJ284">
        <v>37</v>
      </c>
      <c r="AK284">
        <v>64</v>
      </c>
      <c r="AL284">
        <v>8</v>
      </c>
      <c r="AM284">
        <v>0</v>
      </c>
      <c r="AN284" t="s">
        <v>49</v>
      </c>
      <c r="AO284">
        <v>0.91389432485322897</v>
      </c>
      <c r="AP284">
        <v>74</v>
      </c>
    </row>
    <row r="285" spans="1:42" x14ac:dyDescent="0.35">
      <c r="A285">
        <v>97214</v>
      </c>
      <c r="B285">
        <v>8619</v>
      </c>
      <c r="C285">
        <v>950243</v>
      </c>
      <c r="D285">
        <v>412</v>
      </c>
      <c r="E285" s="147">
        <v>44207</v>
      </c>
      <c r="F285" t="s">
        <v>518</v>
      </c>
      <c r="G285" t="s">
        <v>104</v>
      </c>
      <c r="H285" s="147">
        <v>44208</v>
      </c>
      <c r="I285">
        <v>7</v>
      </c>
      <c r="J285" t="s">
        <v>199</v>
      </c>
      <c r="L285">
        <v>0</v>
      </c>
      <c r="M285">
        <v>0</v>
      </c>
      <c r="U285">
        <v>503</v>
      </c>
      <c r="V285">
        <v>461</v>
      </c>
      <c r="W285">
        <v>0</v>
      </c>
      <c r="X285">
        <v>0</v>
      </c>
      <c r="Y285">
        <v>29</v>
      </c>
      <c r="Z285">
        <v>15</v>
      </c>
      <c r="AA285">
        <v>0</v>
      </c>
      <c r="AB285">
        <v>0</v>
      </c>
      <c r="AC285">
        <v>4</v>
      </c>
      <c r="AD285">
        <v>1</v>
      </c>
      <c r="AG285" t="s">
        <v>226</v>
      </c>
      <c r="AH285" t="s">
        <v>435</v>
      </c>
      <c r="AI285">
        <v>241</v>
      </c>
      <c r="AJ285">
        <v>95</v>
      </c>
      <c r="AK285">
        <v>84</v>
      </c>
      <c r="AL285">
        <v>19</v>
      </c>
      <c r="AM285">
        <v>0</v>
      </c>
      <c r="AN285" t="s">
        <v>49</v>
      </c>
      <c r="AO285">
        <v>0.91650099403578533</v>
      </c>
      <c r="AP285">
        <v>135</v>
      </c>
    </row>
    <row r="286" spans="1:42" x14ac:dyDescent="0.35">
      <c r="A286">
        <v>97218</v>
      </c>
      <c r="B286">
        <v>8619</v>
      </c>
      <c r="C286">
        <v>950247</v>
      </c>
      <c r="D286">
        <v>387</v>
      </c>
      <c r="E286" s="147">
        <v>44207</v>
      </c>
      <c r="F286" t="s">
        <v>562</v>
      </c>
      <c r="G286" t="s">
        <v>138</v>
      </c>
      <c r="H286" s="147">
        <v>44208</v>
      </c>
      <c r="I286">
        <v>7</v>
      </c>
      <c r="J286" t="s">
        <v>199</v>
      </c>
      <c r="L286">
        <v>0</v>
      </c>
      <c r="M286">
        <v>0</v>
      </c>
      <c r="U286">
        <v>599</v>
      </c>
      <c r="V286">
        <v>544</v>
      </c>
      <c r="W286">
        <v>0</v>
      </c>
      <c r="X286">
        <v>0</v>
      </c>
      <c r="Y286">
        <v>24</v>
      </c>
      <c r="Z286">
        <v>21</v>
      </c>
      <c r="AA286">
        <v>0</v>
      </c>
      <c r="AB286">
        <v>0</v>
      </c>
      <c r="AC286">
        <v>10</v>
      </c>
      <c r="AD286">
        <v>1</v>
      </c>
      <c r="AG286" t="s">
        <v>226</v>
      </c>
      <c r="AH286" t="s">
        <v>435</v>
      </c>
      <c r="AI286">
        <v>241</v>
      </c>
      <c r="AJ286">
        <v>61</v>
      </c>
      <c r="AK286">
        <v>121</v>
      </c>
      <c r="AL286">
        <v>4</v>
      </c>
      <c r="AM286">
        <v>0</v>
      </c>
      <c r="AN286" t="s">
        <v>49</v>
      </c>
      <c r="AO286">
        <v>0.90818030050083476</v>
      </c>
      <c r="AP286">
        <v>122</v>
      </c>
    </row>
    <row r="287" spans="1:42" x14ac:dyDescent="0.35">
      <c r="A287">
        <v>97225</v>
      </c>
      <c r="B287">
        <v>8619</v>
      </c>
      <c r="C287">
        <v>950254</v>
      </c>
      <c r="D287">
        <v>389</v>
      </c>
      <c r="E287" s="147">
        <v>44207</v>
      </c>
      <c r="F287" t="s">
        <v>563</v>
      </c>
      <c r="G287" t="s">
        <v>159</v>
      </c>
      <c r="H287" s="147">
        <v>44208</v>
      </c>
      <c r="I287">
        <v>7</v>
      </c>
      <c r="J287" t="s">
        <v>199</v>
      </c>
      <c r="L287">
        <v>0</v>
      </c>
      <c r="M287">
        <v>0</v>
      </c>
      <c r="U287">
        <v>1015</v>
      </c>
      <c r="V287">
        <v>968</v>
      </c>
      <c r="W287">
        <v>0</v>
      </c>
      <c r="X287">
        <v>0</v>
      </c>
      <c r="Y287">
        <v>59</v>
      </c>
      <c r="Z287">
        <v>49</v>
      </c>
      <c r="AA287">
        <v>0</v>
      </c>
      <c r="AB287">
        <v>0</v>
      </c>
      <c r="AC287">
        <v>27</v>
      </c>
      <c r="AD287">
        <v>23</v>
      </c>
      <c r="AG287" t="s">
        <v>226</v>
      </c>
      <c r="AH287" t="s">
        <v>435</v>
      </c>
      <c r="AI287">
        <v>394</v>
      </c>
      <c r="AJ287">
        <v>126</v>
      </c>
      <c r="AK287">
        <v>107</v>
      </c>
      <c r="AL287">
        <v>26</v>
      </c>
      <c r="AM287">
        <v>0</v>
      </c>
      <c r="AN287" t="s">
        <v>49</v>
      </c>
      <c r="AO287">
        <v>0.95369458128078821</v>
      </c>
      <c r="AP287">
        <v>212</v>
      </c>
    </row>
    <row r="288" spans="1:42" x14ac:dyDescent="0.35">
      <c r="A288">
        <v>97342</v>
      </c>
      <c r="B288">
        <v>8619</v>
      </c>
      <c r="C288">
        <v>950371</v>
      </c>
      <c r="D288">
        <v>413</v>
      </c>
      <c r="E288" s="147">
        <v>44207</v>
      </c>
      <c r="F288" t="s">
        <v>520</v>
      </c>
      <c r="G288" t="s">
        <v>121</v>
      </c>
      <c r="H288" s="147">
        <v>44209</v>
      </c>
      <c r="I288">
        <v>7</v>
      </c>
      <c r="J288" t="s">
        <v>200</v>
      </c>
      <c r="L288">
        <v>0</v>
      </c>
      <c r="M288">
        <v>0</v>
      </c>
      <c r="U288">
        <v>661</v>
      </c>
      <c r="V288">
        <v>603</v>
      </c>
      <c r="W288">
        <v>0</v>
      </c>
      <c r="X288">
        <v>0</v>
      </c>
      <c r="Y288">
        <v>22</v>
      </c>
      <c r="Z288">
        <v>14</v>
      </c>
      <c r="AA288">
        <v>0</v>
      </c>
      <c r="AB288">
        <v>0</v>
      </c>
      <c r="AC288">
        <v>2</v>
      </c>
      <c r="AD288">
        <v>1</v>
      </c>
      <c r="AG288" t="s">
        <v>226</v>
      </c>
      <c r="AH288" t="s">
        <v>435</v>
      </c>
      <c r="AI288">
        <v>274</v>
      </c>
      <c r="AJ288">
        <v>76</v>
      </c>
      <c r="AK288">
        <v>86</v>
      </c>
      <c r="AL288">
        <v>6</v>
      </c>
      <c r="AM288">
        <v>0</v>
      </c>
      <c r="AN288" t="s">
        <v>49</v>
      </c>
      <c r="AO288">
        <v>0.91225416036308626</v>
      </c>
      <c r="AP288">
        <v>133</v>
      </c>
    </row>
    <row r="289" spans="1:42" x14ac:dyDescent="0.35">
      <c r="A289">
        <v>97345</v>
      </c>
      <c r="B289">
        <v>8619</v>
      </c>
      <c r="C289">
        <v>950374</v>
      </c>
      <c r="D289">
        <v>387</v>
      </c>
      <c r="E289" s="147">
        <v>44207</v>
      </c>
      <c r="F289" t="s">
        <v>562</v>
      </c>
      <c r="G289" t="s">
        <v>138</v>
      </c>
      <c r="H289" s="147">
        <v>44209</v>
      </c>
      <c r="I289">
        <v>7</v>
      </c>
      <c r="J289" t="s">
        <v>200</v>
      </c>
      <c r="L289">
        <v>0</v>
      </c>
      <c r="M289">
        <v>0</v>
      </c>
      <c r="U289">
        <v>599</v>
      </c>
      <c r="V289">
        <v>542</v>
      </c>
      <c r="W289">
        <v>0</v>
      </c>
      <c r="X289">
        <v>0</v>
      </c>
      <c r="Y289">
        <v>24</v>
      </c>
      <c r="Z289">
        <v>21</v>
      </c>
      <c r="AA289">
        <v>0</v>
      </c>
      <c r="AB289">
        <v>0</v>
      </c>
      <c r="AC289">
        <v>10</v>
      </c>
      <c r="AD289">
        <v>1</v>
      </c>
      <c r="AG289" t="s">
        <v>226</v>
      </c>
      <c r="AH289" t="s">
        <v>435</v>
      </c>
      <c r="AI289">
        <v>243</v>
      </c>
      <c r="AJ289">
        <v>57</v>
      </c>
      <c r="AK289">
        <v>99</v>
      </c>
      <c r="AL289">
        <v>1</v>
      </c>
      <c r="AM289">
        <v>0</v>
      </c>
      <c r="AN289" t="s">
        <v>49</v>
      </c>
      <c r="AO289">
        <v>0.90484140233722876</v>
      </c>
      <c r="AP289">
        <v>114</v>
      </c>
    </row>
    <row r="290" spans="1:42" x14ac:dyDescent="0.35">
      <c r="A290">
        <v>97472</v>
      </c>
      <c r="B290">
        <v>8619</v>
      </c>
      <c r="C290">
        <v>950501</v>
      </c>
      <c r="D290">
        <v>387</v>
      </c>
      <c r="E290" s="147">
        <v>44207</v>
      </c>
      <c r="F290" t="s">
        <v>562</v>
      </c>
      <c r="G290" t="s">
        <v>138</v>
      </c>
      <c r="H290" s="147">
        <v>44210</v>
      </c>
      <c r="I290">
        <v>7</v>
      </c>
      <c r="J290" t="s">
        <v>198</v>
      </c>
      <c r="L290">
        <v>0</v>
      </c>
      <c r="M290">
        <v>0</v>
      </c>
      <c r="U290">
        <v>602</v>
      </c>
      <c r="V290">
        <v>527</v>
      </c>
      <c r="W290">
        <v>0</v>
      </c>
      <c r="X290">
        <v>0</v>
      </c>
      <c r="Y290">
        <v>24</v>
      </c>
      <c r="Z290">
        <v>18</v>
      </c>
      <c r="AA290">
        <v>0</v>
      </c>
      <c r="AB290">
        <v>0</v>
      </c>
      <c r="AC290">
        <v>10</v>
      </c>
      <c r="AD290">
        <v>3</v>
      </c>
      <c r="AG290" t="s">
        <v>226</v>
      </c>
      <c r="AH290" t="s">
        <v>435</v>
      </c>
      <c r="AI290">
        <v>238</v>
      </c>
      <c r="AJ290">
        <v>58</v>
      </c>
      <c r="AK290">
        <v>103</v>
      </c>
      <c r="AL290">
        <v>4</v>
      </c>
      <c r="AM290">
        <v>0</v>
      </c>
      <c r="AN290" t="s">
        <v>49</v>
      </c>
      <c r="AO290">
        <v>0.87541528239202659</v>
      </c>
      <c r="AP290">
        <v>106</v>
      </c>
    </row>
    <row r="291" spans="1:42" x14ac:dyDescent="0.35">
      <c r="A291">
        <v>97479</v>
      </c>
      <c r="B291">
        <v>8619</v>
      </c>
      <c r="C291">
        <v>950508</v>
      </c>
      <c r="D291">
        <v>389</v>
      </c>
      <c r="E291" s="147">
        <v>44207</v>
      </c>
      <c r="F291" t="s">
        <v>563</v>
      </c>
      <c r="G291" t="s">
        <v>159</v>
      </c>
      <c r="H291" s="147">
        <v>44210</v>
      </c>
      <c r="I291">
        <v>7</v>
      </c>
      <c r="J291" t="s">
        <v>198</v>
      </c>
      <c r="L291">
        <v>0</v>
      </c>
      <c r="M291">
        <v>0</v>
      </c>
      <c r="U291">
        <v>1036</v>
      </c>
      <c r="V291">
        <v>982</v>
      </c>
      <c r="W291">
        <v>0</v>
      </c>
      <c r="X291">
        <v>0</v>
      </c>
      <c r="Y291">
        <v>65</v>
      </c>
      <c r="Z291">
        <v>59</v>
      </c>
      <c r="AA291">
        <v>0</v>
      </c>
      <c r="AB291">
        <v>0</v>
      </c>
      <c r="AC291">
        <v>27</v>
      </c>
      <c r="AD291">
        <v>21</v>
      </c>
      <c r="AG291" t="s">
        <v>226</v>
      </c>
      <c r="AH291" t="s">
        <v>435</v>
      </c>
      <c r="AI291">
        <v>393</v>
      </c>
      <c r="AJ291">
        <v>117</v>
      </c>
      <c r="AK291">
        <v>79</v>
      </c>
      <c r="AL291">
        <v>14</v>
      </c>
      <c r="AM291">
        <v>0</v>
      </c>
      <c r="AN291" t="s">
        <v>49</v>
      </c>
      <c r="AO291">
        <v>0.94787644787644787</v>
      </c>
      <c r="AP291">
        <v>203</v>
      </c>
    </row>
    <row r="292" spans="1:42" x14ac:dyDescent="0.35">
      <c r="A292">
        <v>97595</v>
      </c>
      <c r="B292">
        <v>8619</v>
      </c>
      <c r="C292">
        <v>950624</v>
      </c>
      <c r="D292">
        <v>412</v>
      </c>
      <c r="E292" s="147">
        <v>44207</v>
      </c>
      <c r="F292" t="s">
        <v>518</v>
      </c>
      <c r="G292" t="s">
        <v>104</v>
      </c>
      <c r="H292" s="147">
        <v>44211</v>
      </c>
      <c r="I292">
        <v>7</v>
      </c>
      <c r="J292" t="s">
        <v>194</v>
      </c>
      <c r="L292">
        <v>0</v>
      </c>
      <c r="M292">
        <v>0</v>
      </c>
      <c r="U292">
        <v>507</v>
      </c>
      <c r="V292">
        <v>442</v>
      </c>
      <c r="W292">
        <v>0</v>
      </c>
      <c r="X292">
        <v>0</v>
      </c>
      <c r="Y292">
        <v>29</v>
      </c>
      <c r="Z292">
        <v>15</v>
      </c>
      <c r="AA292">
        <v>0</v>
      </c>
      <c r="AB292">
        <v>0</v>
      </c>
      <c r="AC292">
        <v>4</v>
      </c>
      <c r="AD292">
        <v>1</v>
      </c>
      <c r="AG292" t="s">
        <v>226</v>
      </c>
      <c r="AH292" t="s">
        <v>435</v>
      </c>
      <c r="AI292">
        <v>229</v>
      </c>
      <c r="AJ292">
        <v>89</v>
      </c>
      <c r="AK292">
        <v>72</v>
      </c>
      <c r="AL292">
        <v>7</v>
      </c>
      <c r="AM292">
        <v>0</v>
      </c>
      <c r="AN292" t="s">
        <v>49</v>
      </c>
      <c r="AO292">
        <v>0.87179487179487181</v>
      </c>
      <c r="AP292">
        <v>129</v>
      </c>
    </row>
    <row r="293" spans="1:42" x14ac:dyDescent="0.35">
      <c r="A293">
        <v>97599</v>
      </c>
      <c r="B293">
        <v>8619</v>
      </c>
      <c r="C293">
        <v>950628</v>
      </c>
      <c r="D293">
        <v>387</v>
      </c>
      <c r="E293" s="147">
        <v>44207</v>
      </c>
      <c r="F293" t="s">
        <v>562</v>
      </c>
      <c r="G293" t="s">
        <v>138</v>
      </c>
      <c r="H293" s="147">
        <v>44211</v>
      </c>
      <c r="I293">
        <v>7</v>
      </c>
      <c r="J293" t="s">
        <v>194</v>
      </c>
      <c r="L293">
        <v>0</v>
      </c>
      <c r="M293">
        <v>0</v>
      </c>
      <c r="U293">
        <v>603</v>
      </c>
      <c r="V293">
        <v>520</v>
      </c>
      <c r="W293">
        <v>0</v>
      </c>
      <c r="X293">
        <v>0</v>
      </c>
      <c r="Y293">
        <v>30</v>
      </c>
      <c r="Z293">
        <v>18</v>
      </c>
      <c r="AA293">
        <v>0</v>
      </c>
      <c r="AB293">
        <v>0</v>
      </c>
      <c r="AC293">
        <v>10</v>
      </c>
      <c r="AD293">
        <v>4</v>
      </c>
      <c r="AG293" t="s">
        <v>226</v>
      </c>
      <c r="AH293" t="s">
        <v>435</v>
      </c>
      <c r="AI293">
        <v>233</v>
      </c>
      <c r="AJ293">
        <v>57</v>
      </c>
      <c r="AK293">
        <v>96</v>
      </c>
      <c r="AL293">
        <v>4</v>
      </c>
      <c r="AM293">
        <v>0</v>
      </c>
      <c r="AN293" t="s">
        <v>49</v>
      </c>
      <c r="AO293">
        <v>0.86235489220563843</v>
      </c>
      <c r="AP293">
        <v>112</v>
      </c>
    </row>
    <row r="294" spans="1:42" x14ac:dyDescent="0.35">
      <c r="A294">
        <v>97607</v>
      </c>
      <c r="B294">
        <v>8619</v>
      </c>
      <c r="C294">
        <v>950636</v>
      </c>
      <c r="D294">
        <v>453</v>
      </c>
      <c r="E294" s="147">
        <v>44207</v>
      </c>
      <c r="F294" t="s">
        <v>564</v>
      </c>
      <c r="G294" t="s">
        <v>225</v>
      </c>
      <c r="H294" s="147">
        <v>44211</v>
      </c>
      <c r="I294">
        <v>7</v>
      </c>
      <c r="J294" t="s">
        <v>194</v>
      </c>
      <c r="L294">
        <v>0</v>
      </c>
      <c r="M294">
        <v>0</v>
      </c>
      <c r="U294">
        <v>1314</v>
      </c>
      <c r="V294">
        <v>1130</v>
      </c>
      <c r="W294">
        <v>0</v>
      </c>
      <c r="X294">
        <v>0</v>
      </c>
      <c r="Y294">
        <v>83</v>
      </c>
      <c r="Z294">
        <v>60</v>
      </c>
      <c r="AA294">
        <v>0</v>
      </c>
      <c r="AB294">
        <v>0</v>
      </c>
      <c r="AC294">
        <v>25</v>
      </c>
      <c r="AD294">
        <v>16</v>
      </c>
      <c r="AG294" t="s">
        <v>226</v>
      </c>
      <c r="AH294" t="s">
        <v>435</v>
      </c>
      <c r="AI294">
        <v>467</v>
      </c>
      <c r="AJ294">
        <v>145</v>
      </c>
      <c r="AK294">
        <v>163</v>
      </c>
      <c r="AL294">
        <v>1</v>
      </c>
      <c r="AM294">
        <v>0</v>
      </c>
      <c r="AN294" t="s">
        <v>49</v>
      </c>
      <c r="AO294">
        <v>0.85996955859969559</v>
      </c>
      <c r="AP294">
        <v>224</v>
      </c>
    </row>
    <row r="295" spans="1:42" x14ac:dyDescent="0.35">
      <c r="A295">
        <v>97725</v>
      </c>
      <c r="B295">
        <v>8619</v>
      </c>
      <c r="C295">
        <v>950754</v>
      </c>
      <c r="D295">
        <v>507</v>
      </c>
      <c r="E295" s="147">
        <v>44207</v>
      </c>
      <c r="F295" t="s">
        <v>565</v>
      </c>
      <c r="G295" t="s">
        <v>135</v>
      </c>
      <c r="H295" s="147">
        <v>44212</v>
      </c>
      <c r="I295">
        <v>7</v>
      </c>
      <c r="J295" t="s">
        <v>196</v>
      </c>
      <c r="L295">
        <v>0</v>
      </c>
      <c r="M295">
        <v>0</v>
      </c>
      <c r="U295">
        <v>716</v>
      </c>
      <c r="V295">
        <v>577</v>
      </c>
      <c r="W295">
        <v>0</v>
      </c>
      <c r="X295">
        <v>0</v>
      </c>
      <c r="Y295">
        <v>40</v>
      </c>
      <c r="Z295">
        <v>40</v>
      </c>
      <c r="AA295">
        <v>0</v>
      </c>
      <c r="AB295">
        <v>0</v>
      </c>
      <c r="AC295">
        <v>10</v>
      </c>
      <c r="AD295">
        <v>6</v>
      </c>
      <c r="AG295" t="s">
        <v>226</v>
      </c>
      <c r="AH295" t="s">
        <v>435</v>
      </c>
      <c r="AI295">
        <v>340</v>
      </c>
      <c r="AJ295">
        <v>71</v>
      </c>
      <c r="AK295">
        <v>151</v>
      </c>
      <c r="AL295">
        <v>6</v>
      </c>
      <c r="AM295">
        <v>0</v>
      </c>
      <c r="AN295" t="s">
        <v>49</v>
      </c>
      <c r="AO295">
        <v>0.80586592178770955</v>
      </c>
      <c r="AP295">
        <v>149</v>
      </c>
    </row>
    <row r="296" spans="1:42" x14ac:dyDescent="0.35">
      <c r="A296">
        <v>97726</v>
      </c>
      <c r="B296">
        <v>8619</v>
      </c>
      <c r="C296">
        <v>950755</v>
      </c>
      <c r="D296">
        <v>387</v>
      </c>
      <c r="E296" s="147">
        <v>44207</v>
      </c>
      <c r="F296" t="s">
        <v>562</v>
      </c>
      <c r="G296" t="s">
        <v>138</v>
      </c>
      <c r="H296" s="147">
        <v>44212</v>
      </c>
      <c r="I296">
        <v>7</v>
      </c>
      <c r="J296" t="s">
        <v>196</v>
      </c>
      <c r="L296">
        <v>0</v>
      </c>
      <c r="M296">
        <v>0</v>
      </c>
      <c r="U296">
        <v>573</v>
      </c>
      <c r="V296">
        <v>497</v>
      </c>
      <c r="W296">
        <v>0</v>
      </c>
      <c r="X296">
        <v>0</v>
      </c>
      <c r="Y296">
        <v>30</v>
      </c>
      <c r="Z296">
        <v>20</v>
      </c>
      <c r="AA296">
        <v>0</v>
      </c>
      <c r="AB296">
        <v>0</v>
      </c>
      <c r="AC296">
        <v>10</v>
      </c>
      <c r="AD296">
        <v>4</v>
      </c>
      <c r="AG296" t="s">
        <v>226</v>
      </c>
      <c r="AH296" t="s">
        <v>435</v>
      </c>
      <c r="AI296">
        <v>230</v>
      </c>
      <c r="AJ296">
        <v>58</v>
      </c>
      <c r="AK296">
        <v>103</v>
      </c>
      <c r="AL296">
        <v>1</v>
      </c>
      <c r="AM296">
        <v>0</v>
      </c>
      <c r="AN296" t="s">
        <v>49</v>
      </c>
      <c r="AO296">
        <v>0.86736474694589882</v>
      </c>
      <c r="AP296">
        <v>112</v>
      </c>
    </row>
    <row r="297" spans="1:42" x14ac:dyDescent="0.35">
      <c r="A297">
        <v>97730</v>
      </c>
      <c r="B297">
        <v>8619</v>
      </c>
      <c r="C297">
        <v>950759</v>
      </c>
      <c r="D297">
        <v>393</v>
      </c>
      <c r="E297" s="147">
        <v>44207</v>
      </c>
      <c r="F297" t="s">
        <v>566</v>
      </c>
      <c r="G297" t="s">
        <v>153</v>
      </c>
      <c r="H297" s="147">
        <v>44212</v>
      </c>
      <c r="I297">
        <v>7</v>
      </c>
      <c r="J297" t="s">
        <v>196</v>
      </c>
      <c r="L297">
        <v>0</v>
      </c>
      <c r="M297">
        <v>0</v>
      </c>
      <c r="U297">
        <v>820</v>
      </c>
      <c r="V297">
        <v>630</v>
      </c>
      <c r="W297">
        <v>0</v>
      </c>
      <c r="X297">
        <v>0</v>
      </c>
      <c r="Y297">
        <v>41</v>
      </c>
      <c r="Z297">
        <v>38</v>
      </c>
      <c r="AA297">
        <v>0</v>
      </c>
      <c r="AB297">
        <v>0</v>
      </c>
      <c r="AC297">
        <v>14</v>
      </c>
      <c r="AD297">
        <v>13</v>
      </c>
      <c r="AG297" t="s">
        <v>226</v>
      </c>
      <c r="AH297" t="s">
        <v>435</v>
      </c>
      <c r="AI297">
        <v>290</v>
      </c>
      <c r="AJ297">
        <v>107</v>
      </c>
      <c r="AK297">
        <v>104</v>
      </c>
      <c r="AL297">
        <v>6</v>
      </c>
      <c r="AM297">
        <v>0</v>
      </c>
      <c r="AN297" t="s">
        <v>49</v>
      </c>
      <c r="AO297">
        <v>0.76829268292682928</v>
      </c>
      <c r="AP297">
        <v>168</v>
      </c>
    </row>
    <row r="298" spans="1:42" x14ac:dyDescent="0.35">
      <c r="A298">
        <v>97734</v>
      </c>
      <c r="B298">
        <v>8619</v>
      </c>
      <c r="C298">
        <v>950763</v>
      </c>
      <c r="D298">
        <v>453</v>
      </c>
      <c r="E298" s="147">
        <v>44207</v>
      </c>
      <c r="F298" t="s">
        <v>564</v>
      </c>
      <c r="G298" t="s">
        <v>225</v>
      </c>
      <c r="H298" s="147">
        <v>44212</v>
      </c>
      <c r="I298">
        <v>7</v>
      </c>
      <c r="J298" t="s">
        <v>196</v>
      </c>
      <c r="L298">
        <v>0</v>
      </c>
      <c r="M298">
        <v>0</v>
      </c>
      <c r="U298">
        <v>1302</v>
      </c>
      <c r="V298">
        <v>1071</v>
      </c>
      <c r="W298">
        <v>0</v>
      </c>
      <c r="X298">
        <v>0</v>
      </c>
      <c r="Y298">
        <v>83</v>
      </c>
      <c r="Z298">
        <v>66</v>
      </c>
      <c r="AA298">
        <v>0</v>
      </c>
      <c r="AB298">
        <v>0</v>
      </c>
      <c r="AC298">
        <v>25</v>
      </c>
      <c r="AD298">
        <v>16</v>
      </c>
      <c r="AG298" t="s">
        <v>226</v>
      </c>
      <c r="AH298" t="s">
        <v>435</v>
      </c>
      <c r="AI298">
        <v>445</v>
      </c>
      <c r="AJ298">
        <v>140</v>
      </c>
      <c r="AK298">
        <v>182</v>
      </c>
      <c r="AL298">
        <v>3</v>
      </c>
      <c r="AM298">
        <v>0</v>
      </c>
      <c r="AN298" t="s">
        <v>49</v>
      </c>
      <c r="AO298">
        <v>0.82258064516129037</v>
      </c>
      <c r="AP298">
        <v>210</v>
      </c>
    </row>
    <row r="299" spans="1:42" x14ac:dyDescent="0.35">
      <c r="A299">
        <v>97857</v>
      </c>
      <c r="B299">
        <v>8619</v>
      </c>
      <c r="C299">
        <v>950886</v>
      </c>
      <c r="D299">
        <v>393</v>
      </c>
      <c r="E299" s="147">
        <v>44207</v>
      </c>
      <c r="F299" t="s">
        <v>566</v>
      </c>
      <c r="G299" t="s">
        <v>153</v>
      </c>
      <c r="H299" s="147">
        <v>44213</v>
      </c>
      <c r="I299">
        <v>7</v>
      </c>
      <c r="J299" t="s">
        <v>197</v>
      </c>
      <c r="L299">
        <v>0</v>
      </c>
      <c r="M299">
        <v>0</v>
      </c>
      <c r="U299">
        <v>825</v>
      </c>
      <c r="V299">
        <v>636</v>
      </c>
      <c r="W299">
        <v>0</v>
      </c>
      <c r="X299">
        <v>0</v>
      </c>
      <c r="Y299">
        <v>44</v>
      </c>
      <c r="Z299">
        <v>41</v>
      </c>
      <c r="AA299">
        <v>0</v>
      </c>
      <c r="AB299">
        <v>0</v>
      </c>
      <c r="AC299">
        <v>14</v>
      </c>
      <c r="AD299">
        <v>12</v>
      </c>
      <c r="AG299" t="s">
        <v>226</v>
      </c>
      <c r="AH299" t="s">
        <v>435</v>
      </c>
      <c r="AI299">
        <v>287</v>
      </c>
      <c r="AJ299">
        <v>101</v>
      </c>
      <c r="AK299">
        <v>134</v>
      </c>
      <c r="AL299">
        <v>3</v>
      </c>
      <c r="AM299">
        <v>0</v>
      </c>
      <c r="AN299" t="s">
        <v>49</v>
      </c>
      <c r="AO299">
        <v>0.77090909090909088</v>
      </c>
      <c r="AP299">
        <v>168</v>
      </c>
    </row>
    <row r="300" spans="1:42" x14ac:dyDescent="0.35">
      <c r="A300">
        <v>97861</v>
      </c>
      <c r="B300">
        <v>8619</v>
      </c>
      <c r="C300">
        <v>950890</v>
      </c>
      <c r="D300">
        <v>453</v>
      </c>
      <c r="E300" s="147">
        <v>44207</v>
      </c>
      <c r="F300" t="s">
        <v>564</v>
      </c>
      <c r="G300" t="s">
        <v>225</v>
      </c>
      <c r="H300" s="147">
        <v>44213</v>
      </c>
      <c r="I300">
        <v>7</v>
      </c>
      <c r="J300" t="s">
        <v>197</v>
      </c>
      <c r="L300">
        <v>0</v>
      </c>
      <c r="M300">
        <v>0</v>
      </c>
      <c r="U300">
        <v>1308</v>
      </c>
      <c r="V300">
        <v>1096</v>
      </c>
      <c r="W300">
        <v>0</v>
      </c>
      <c r="X300">
        <v>0</v>
      </c>
      <c r="Y300">
        <v>83</v>
      </c>
      <c r="Z300">
        <v>63</v>
      </c>
      <c r="AA300">
        <v>0</v>
      </c>
      <c r="AB300">
        <v>0</v>
      </c>
      <c r="AC300">
        <v>25</v>
      </c>
      <c r="AD300">
        <v>18</v>
      </c>
      <c r="AG300" t="s">
        <v>226</v>
      </c>
      <c r="AH300" t="s">
        <v>435</v>
      </c>
      <c r="AI300">
        <v>450</v>
      </c>
      <c r="AJ300">
        <v>140</v>
      </c>
      <c r="AK300">
        <v>155</v>
      </c>
      <c r="AL300">
        <v>2</v>
      </c>
      <c r="AM300">
        <v>0</v>
      </c>
      <c r="AN300" t="s">
        <v>49</v>
      </c>
      <c r="AO300">
        <v>0.8379204892966361</v>
      </c>
      <c r="AP300">
        <v>217</v>
      </c>
    </row>
    <row r="301" spans="1:42" x14ac:dyDescent="0.35">
      <c r="A301">
        <v>97130</v>
      </c>
      <c r="B301">
        <v>8619</v>
      </c>
      <c r="C301">
        <v>950159</v>
      </c>
      <c r="D301">
        <v>384</v>
      </c>
      <c r="E301" s="147">
        <v>44207</v>
      </c>
      <c r="F301" t="s">
        <v>567</v>
      </c>
      <c r="G301" t="s">
        <v>80</v>
      </c>
      <c r="H301" s="147">
        <v>44207</v>
      </c>
      <c r="I301">
        <v>7</v>
      </c>
      <c r="J301" t="s">
        <v>195</v>
      </c>
      <c r="L301">
        <v>0</v>
      </c>
      <c r="M301">
        <v>0</v>
      </c>
      <c r="U301">
        <v>469</v>
      </c>
      <c r="V301">
        <v>437</v>
      </c>
      <c r="W301">
        <v>0</v>
      </c>
      <c r="X301">
        <v>0</v>
      </c>
      <c r="Y301">
        <v>23</v>
      </c>
      <c r="Z301">
        <v>23</v>
      </c>
      <c r="AA301">
        <v>0</v>
      </c>
      <c r="AB301">
        <v>0</v>
      </c>
      <c r="AC301">
        <v>12</v>
      </c>
      <c r="AD301">
        <v>4</v>
      </c>
      <c r="AG301" t="s">
        <v>255</v>
      </c>
      <c r="AH301" t="s">
        <v>435</v>
      </c>
      <c r="AI301">
        <v>241</v>
      </c>
      <c r="AJ301">
        <v>92</v>
      </c>
      <c r="AK301">
        <v>54</v>
      </c>
      <c r="AL301">
        <v>10</v>
      </c>
      <c r="AM301">
        <v>0</v>
      </c>
      <c r="AN301" t="s">
        <v>49</v>
      </c>
      <c r="AO301">
        <v>0.93176972281449888</v>
      </c>
      <c r="AP301">
        <v>133</v>
      </c>
    </row>
    <row r="302" spans="1:42" x14ac:dyDescent="0.35">
      <c r="A302">
        <v>97136</v>
      </c>
      <c r="B302">
        <v>8619</v>
      </c>
      <c r="C302">
        <v>950165</v>
      </c>
      <c r="D302">
        <v>325</v>
      </c>
      <c r="E302" s="147">
        <v>44207</v>
      </c>
      <c r="F302" t="s">
        <v>543</v>
      </c>
      <c r="G302" t="s">
        <v>113</v>
      </c>
      <c r="H302" s="147">
        <v>44207</v>
      </c>
      <c r="I302">
        <v>7</v>
      </c>
      <c r="J302" t="s">
        <v>195</v>
      </c>
      <c r="L302">
        <v>0</v>
      </c>
      <c r="M302">
        <v>0</v>
      </c>
      <c r="U302">
        <v>569</v>
      </c>
      <c r="V302">
        <v>493</v>
      </c>
      <c r="W302">
        <v>0</v>
      </c>
      <c r="X302">
        <v>0</v>
      </c>
      <c r="Y302">
        <v>15</v>
      </c>
      <c r="Z302">
        <v>15</v>
      </c>
      <c r="AA302">
        <v>0</v>
      </c>
      <c r="AB302">
        <v>0</v>
      </c>
      <c r="AC302">
        <v>8</v>
      </c>
      <c r="AD302">
        <v>8</v>
      </c>
      <c r="AG302" t="s">
        <v>255</v>
      </c>
      <c r="AH302" t="s">
        <v>435</v>
      </c>
      <c r="AI302">
        <v>228</v>
      </c>
      <c r="AJ302">
        <v>95</v>
      </c>
      <c r="AK302">
        <v>64</v>
      </c>
      <c r="AL302">
        <v>4</v>
      </c>
      <c r="AM302">
        <v>0</v>
      </c>
      <c r="AN302" t="s">
        <v>49</v>
      </c>
      <c r="AO302">
        <v>0.86643233743409487</v>
      </c>
      <c r="AP302">
        <v>147</v>
      </c>
    </row>
    <row r="303" spans="1:42" x14ac:dyDescent="0.35">
      <c r="A303">
        <v>97141</v>
      </c>
      <c r="B303">
        <v>8619</v>
      </c>
      <c r="C303">
        <v>950170</v>
      </c>
      <c r="D303">
        <v>483</v>
      </c>
      <c r="E303" s="147">
        <v>44207</v>
      </c>
      <c r="F303" t="s">
        <v>568</v>
      </c>
      <c r="G303" t="s">
        <v>145</v>
      </c>
      <c r="H303" s="147">
        <v>44207</v>
      </c>
      <c r="I303">
        <v>7</v>
      </c>
      <c r="J303" t="s">
        <v>195</v>
      </c>
      <c r="L303">
        <v>0</v>
      </c>
      <c r="M303">
        <v>0</v>
      </c>
      <c r="U303">
        <v>562</v>
      </c>
      <c r="V303">
        <v>497</v>
      </c>
      <c r="W303">
        <v>0</v>
      </c>
      <c r="X303">
        <v>0</v>
      </c>
      <c r="Y303">
        <v>18</v>
      </c>
      <c r="Z303">
        <v>11</v>
      </c>
      <c r="AA303">
        <v>0</v>
      </c>
      <c r="AB303">
        <v>0</v>
      </c>
      <c r="AC303">
        <v>5</v>
      </c>
      <c r="AD303">
        <v>2</v>
      </c>
      <c r="AG303" t="s">
        <v>255</v>
      </c>
      <c r="AH303" t="s">
        <v>435</v>
      </c>
      <c r="AI303">
        <v>290</v>
      </c>
      <c r="AJ303">
        <v>96</v>
      </c>
      <c r="AK303">
        <v>61</v>
      </c>
      <c r="AL303">
        <v>7</v>
      </c>
      <c r="AM303">
        <v>0</v>
      </c>
      <c r="AN303" t="s">
        <v>49</v>
      </c>
      <c r="AO303">
        <v>0.88434163701067614</v>
      </c>
      <c r="AP303">
        <v>174</v>
      </c>
    </row>
    <row r="304" spans="1:42" x14ac:dyDescent="0.35">
      <c r="A304">
        <v>97142</v>
      </c>
      <c r="B304">
        <v>8619</v>
      </c>
      <c r="C304">
        <v>950171</v>
      </c>
      <c r="D304">
        <v>403</v>
      </c>
      <c r="E304" s="147">
        <v>44207</v>
      </c>
      <c r="F304" t="s">
        <v>536</v>
      </c>
      <c r="G304" t="s">
        <v>147</v>
      </c>
      <c r="H304" s="147">
        <v>44207</v>
      </c>
      <c r="I304">
        <v>7</v>
      </c>
      <c r="J304" t="s">
        <v>195</v>
      </c>
      <c r="L304">
        <v>0</v>
      </c>
      <c r="M304">
        <v>0</v>
      </c>
      <c r="U304">
        <v>385</v>
      </c>
      <c r="V304">
        <v>314</v>
      </c>
      <c r="W304">
        <v>0</v>
      </c>
      <c r="X304">
        <v>0</v>
      </c>
      <c r="Y304">
        <v>23</v>
      </c>
      <c r="Z304">
        <v>14</v>
      </c>
      <c r="AA304">
        <v>0</v>
      </c>
      <c r="AB304">
        <v>0</v>
      </c>
      <c r="AC304">
        <v>1</v>
      </c>
      <c r="AD304">
        <v>1</v>
      </c>
      <c r="AG304" t="s">
        <v>255</v>
      </c>
      <c r="AH304" t="s">
        <v>435</v>
      </c>
      <c r="AI304">
        <v>147</v>
      </c>
      <c r="AJ304">
        <v>52</v>
      </c>
      <c r="AK304">
        <v>61</v>
      </c>
      <c r="AL304">
        <v>3</v>
      </c>
      <c r="AM304">
        <v>0</v>
      </c>
      <c r="AN304" t="s">
        <v>49</v>
      </c>
      <c r="AO304">
        <v>0.81558441558441563</v>
      </c>
      <c r="AP304">
        <v>86</v>
      </c>
    </row>
    <row r="305" spans="1:42" x14ac:dyDescent="0.35">
      <c r="A305">
        <v>97144</v>
      </c>
      <c r="B305">
        <v>8619</v>
      </c>
      <c r="C305">
        <v>950173</v>
      </c>
      <c r="D305">
        <v>489</v>
      </c>
      <c r="E305" s="147">
        <v>44207</v>
      </c>
      <c r="F305" t="s">
        <v>519</v>
      </c>
      <c r="G305" t="s">
        <v>434</v>
      </c>
      <c r="H305" s="147">
        <v>44207</v>
      </c>
      <c r="I305">
        <v>7</v>
      </c>
      <c r="J305" t="s">
        <v>195</v>
      </c>
      <c r="L305">
        <v>0</v>
      </c>
      <c r="M305">
        <v>0</v>
      </c>
      <c r="U305">
        <v>523</v>
      </c>
      <c r="V305">
        <v>479</v>
      </c>
      <c r="W305">
        <v>0</v>
      </c>
      <c r="X305">
        <v>0</v>
      </c>
      <c r="Y305">
        <v>18</v>
      </c>
      <c r="Z305">
        <v>18</v>
      </c>
      <c r="AA305">
        <v>0</v>
      </c>
      <c r="AB305">
        <v>0</v>
      </c>
      <c r="AC305">
        <v>3</v>
      </c>
      <c r="AD305">
        <v>1</v>
      </c>
      <c r="AG305" t="s">
        <v>255</v>
      </c>
      <c r="AH305" t="s">
        <v>435</v>
      </c>
      <c r="AI305">
        <v>264</v>
      </c>
      <c r="AJ305">
        <v>116</v>
      </c>
      <c r="AK305">
        <v>52</v>
      </c>
      <c r="AL305">
        <v>4</v>
      </c>
      <c r="AM305">
        <v>0</v>
      </c>
      <c r="AN305" t="s">
        <v>49</v>
      </c>
      <c r="AO305">
        <v>0.91586998087954108</v>
      </c>
      <c r="AP305">
        <v>170</v>
      </c>
    </row>
    <row r="306" spans="1:42" x14ac:dyDescent="0.35">
      <c r="A306">
        <v>97257</v>
      </c>
      <c r="B306">
        <v>8619</v>
      </c>
      <c r="C306">
        <v>950286</v>
      </c>
      <c r="D306">
        <v>384</v>
      </c>
      <c r="E306" s="147">
        <v>44207</v>
      </c>
      <c r="F306" t="s">
        <v>567</v>
      </c>
      <c r="G306" t="s">
        <v>80</v>
      </c>
      <c r="H306" s="147">
        <v>44208</v>
      </c>
      <c r="I306">
        <v>7</v>
      </c>
      <c r="J306" t="s">
        <v>199</v>
      </c>
      <c r="L306">
        <v>0</v>
      </c>
      <c r="M306">
        <v>0</v>
      </c>
      <c r="U306">
        <v>458</v>
      </c>
      <c r="V306">
        <v>415</v>
      </c>
      <c r="W306">
        <v>0</v>
      </c>
      <c r="X306">
        <v>0</v>
      </c>
      <c r="Y306">
        <v>29</v>
      </c>
      <c r="Z306">
        <v>25</v>
      </c>
      <c r="AA306">
        <v>0</v>
      </c>
      <c r="AB306">
        <v>0</v>
      </c>
      <c r="AC306">
        <v>12</v>
      </c>
      <c r="AD306">
        <v>3</v>
      </c>
      <c r="AG306" t="s">
        <v>255</v>
      </c>
      <c r="AH306" t="s">
        <v>435</v>
      </c>
      <c r="AI306">
        <v>245</v>
      </c>
      <c r="AJ306">
        <v>90</v>
      </c>
      <c r="AK306">
        <v>58</v>
      </c>
      <c r="AL306">
        <v>8</v>
      </c>
      <c r="AM306">
        <v>0</v>
      </c>
      <c r="AN306" t="s">
        <v>49</v>
      </c>
      <c r="AO306">
        <v>0.90611353711790388</v>
      </c>
      <c r="AP306">
        <v>133</v>
      </c>
    </row>
    <row r="307" spans="1:42" x14ac:dyDescent="0.35">
      <c r="A307">
        <v>97263</v>
      </c>
      <c r="B307">
        <v>8619</v>
      </c>
      <c r="C307">
        <v>950292</v>
      </c>
      <c r="D307">
        <v>325</v>
      </c>
      <c r="E307" s="147">
        <v>44207</v>
      </c>
      <c r="F307" t="s">
        <v>543</v>
      </c>
      <c r="G307" t="s">
        <v>113</v>
      </c>
      <c r="H307" s="147">
        <v>44208</v>
      </c>
      <c r="I307">
        <v>7</v>
      </c>
      <c r="J307" t="s">
        <v>199</v>
      </c>
      <c r="L307">
        <v>0</v>
      </c>
      <c r="M307">
        <v>0</v>
      </c>
      <c r="U307">
        <v>507</v>
      </c>
      <c r="V307">
        <v>486</v>
      </c>
      <c r="W307">
        <v>0</v>
      </c>
      <c r="X307">
        <v>0</v>
      </c>
      <c r="Y307">
        <v>16</v>
      </c>
      <c r="Z307">
        <v>14</v>
      </c>
      <c r="AA307">
        <v>0</v>
      </c>
      <c r="AB307">
        <v>0</v>
      </c>
      <c r="AC307">
        <v>8</v>
      </c>
      <c r="AD307">
        <v>8</v>
      </c>
      <c r="AG307" t="s">
        <v>255</v>
      </c>
      <c r="AH307" t="s">
        <v>435</v>
      </c>
      <c r="AI307">
        <v>238</v>
      </c>
      <c r="AJ307">
        <v>100</v>
      </c>
      <c r="AK307">
        <v>53</v>
      </c>
      <c r="AL307">
        <v>3</v>
      </c>
      <c r="AM307">
        <v>0</v>
      </c>
      <c r="AN307" t="s">
        <v>49</v>
      </c>
      <c r="AO307">
        <v>0.95857988165680474</v>
      </c>
      <c r="AP307">
        <v>153</v>
      </c>
    </row>
    <row r="308" spans="1:42" x14ac:dyDescent="0.35">
      <c r="A308">
        <v>97268</v>
      </c>
      <c r="B308">
        <v>8619</v>
      </c>
      <c r="C308">
        <v>950297</v>
      </c>
      <c r="D308">
        <v>483</v>
      </c>
      <c r="E308" s="147">
        <v>44207</v>
      </c>
      <c r="F308" t="s">
        <v>568</v>
      </c>
      <c r="G308" t="s">
        <v>145</v>
      </c>
      <c r="H308" s="147">
        <v>44208</v>
      </c>
      <c r="I308">
        <v>7</v>
      </c>
      <c r="J308" t="s">
        <v>199</v>
      </c>
      <c r="L308">
        <v>0</v>
      </c>
      <c r="M308">
        <v>0</v>
      </c>
      <c r="U308">
        <v>561</v>
      </c>
      <c r="V308">
        <v>504</v>
      </c>
      <c r="W308">
        <v>0</v>
      </c>
      <c r="X308">
        <v>0</v>
      </c>
      <c r="Y308">
        <v>18</v>
      </c>
      <c r="Z308">
        <v>14</v>
      </c>
      <c r="AA308">
        <v>0</v>
      </c>
      <c r="AB308">
        <v>0</v>
      </c>
      <c r="AC308">
        <v>5</v>
      </c>
      <c r="AD308">
        <v>1</v>
      </c>
      <c r="AG308" t="s">
        <v>255</v>
      </c>
      <c r="AH308" t="s">
        <v>435</v>
      </c>
      <c r="AI308">
        <v>304</v>
      </c>
      <c r="AJ308">
        <v>105</v>
      </c>
      <c r="AK308">
        <v>77</v>
      </c>
      <c r="AL308">
        <v>4</v>
      </c>
      <c r="AM308">
        <v>0</v>
      </c>
      <c r="AN308" t="s">
        <v>49</v>
      </c>
      <c r="AO308">
        <v>0.89839572192513373</v>
      </c>
      <c r="AP308">
        <v>178</v>
      </c>
    </row>
    <row r="309" spans="1:42" x14ac:dyDescent="0.35">
      <c r="A309">
        <v>97382</v>
      </c>
      <c r="B309">
        <v>8619</v>
      </c>
      <c r="C309">
        <v>950411</v>
      </c>
      <c r="D309">
        <v>508</v>
      </c>
      <c r="E309" s="147">
        <v>44207</v>
      </c>
      <c r="F309" t="s">
        <v>569</v>
      </c>
      <c r="G309" t="s">
        <v>71</v>
      </c>
      <c r="H309" s="147">
        <v>44209</v>
      </c>
      <c r="I309">
        <v>7</v>
      </c>
      <c r="J309" t="s">
        <v>200</v>
      </c>
      <c r="L309">
        <v>0</v>
      </c>
      <c r="M309">
        <v>0</v>
      </c>
      <c r="U309">
        <v>681</v>
      </c>
      <c r="V309">
        <v>641</v>
      </c>
      <c r="W309">
        <v>0</v>
      </c>
      <c r="X309">
        <v>0</v>
      </c>
      <c r="Y309">
        <v>48</v>
      </c>
      <c r="Z309">
        <v>30</v>
      </c>
      <c r="AA309">
        <v>0</v>
      </c>
      <c r="AB309">
        <v>0</v>
      </c>
      <c r="AC309">
        <v>4</v>
      </c>
      <c r="AD309">
        <v>1</v>
      </c>
      <c r="AG309" t="s">
        <v>255</v>
      </c>
      <c r="AH309" t="s">
        <v>435</v>
      </c>
      <c r="AI309">
        <v>345</v>
      </c>
      <c r="AJ309">
        <v>107</v>
      </c>
      <c r="AK309">
        <v>74</v>
      </c>
      <c r="AL309">
        <v>11</v>
      </c>
      <c r="AM309">
        <v>0</v>
      </c>
      <c r="AN309" t="s">
        <v>49</v>
      </c>
      <c r="AO309">
        <v>0.94126284875183552</v>
      </c>
      <c r="AP309">
        <v>172</v>
      </c>
    </row>
    <row r="310" spans="1:42" x14ac:dyDescent="0.35">
      <c r="A310">
        <v>97384</v>
      </c>
      <c r="B310">
        <v>8619</v>
      </c>
      <c r="C310">
        <v>950413</v>
      </c>
      <c r="D310">
        <v>384</v>
      </c>
      <c r="E310" s="147">
        <v>44207</v>
      </c>
      <c r="F310" t="s">
        <v>567</v>
      </c>
      <c r="G310" t="s">
        <v>80</v>
      </c>
      <c r="H310" s="147">
        <v>44209</v>
      </c>
      <c r="I310">
        <v>7</v>
      </c>
      <c r="J310" t="s">
        <v>200</v>
      </c>
      <c r="L310">
        <v>0</v>
      </c>
      <c r="M310">
        <v>0</v>
      </c>
      <c r="U310">
        <v>462</v>
      </c>
      <c r="V310">
        <v>421</v>
      </c>
      <c r="W310">
        <v>0</v>
      </c>
      <c r="X310">
        <v>0</v>
      </c>
      <c r="Y310">
        <v>29</v>
      </c>
      <c r="Z310">
        <v>26</v>
      </c>
      <c r="AA310">
        <v>0</v>
      </c>
      <c r="AB310">
        <v>0</v>
      </c>
      <c r="AC310">
        <v>12</v>
      </c>
      <c r="AD310">
        <v>4</v>
      </c>
      <c r="AG310" t="s">
        <v>255</v>
      </c>
      <c r="AH310" t="s">
        <v>435</v>
      </c>
      <c r="AI310">
        <v>247</v>
      </c>
      <c r="AJ310">
        <v>84</v>
      </c>
      <c r="AK310">
        <v>54</v>
      </c>
      <c r="AL310">
        <v>5</v>
      </c>
      <c r="AM310">
        <v>0</v>
      </c>
      <c r="AN310" t="s">
        <v>49</v>
      </c>
      <c r="AO310">
        <v>0.91125541125541121</v>
      </c>
      <c r="AP310">
        <v>130</v>
      </c>
    </row>
    <row r="311" spans="1:42" x14ac:dyDescent="0.35">
      <c r="A311">
        <v>97390</v>
      </c>
      <c r="B311">
        <v>8619</v>
      </c>
      <c r="C311">
        <v>950419</v>
      </c>
      <c r="D311">
        <v>325</v>
      </c>
      <c r="E311" s="147">
        <v>44207</v>
      </c>
      <c r="F311" t="s">
        <v>543</v>
      </c>
      <c r="G311" t="s">
        <v>113</v>
      </c>
      <c r="H311" s="147">
        <v>44209</v>
      </c>
      <c r="I311">
        <v>7</v>
      </c>
      <c r="J311" t="s">
        <v>200</v>
      </c>
      <c r="L311">
        <v>0</v>
      </c>
      <c r="M311">
        <v>0</v>
      </c>
      <c r="U311">
        <v>538</v>
      </c>
      <c r="V311">
        <v>508</v>
      </c>
      <c r="W311">
        <v>0</v>
      </c>
      <c r="X311">
        <v>0</v>
      </c>
      <c r="Y311">
        <v>18</v>
      </c>
      <c r="Z311">
        <v>16</v>
      </c>
      <c r="AA311">
        <v>0</v>
      </c>
      <c r="AB311">
        <v>0</v>
      </c>
      <c r="AC311">
        <v>8</v>
      </c>
      <c r="AD311">
        <v>8</v>
      </c>
      <c r="AG311" t="s">
        <v>255</v>
      </c>
      <c r="AH311" t="s">
        <v>435</v>
      </c>
      <c r="AI311">
        <v>232</v>
      </c>
      <c r="AJ311">
        <v>98</v>
      </c>
      <c r="AK311">
        <v>55</v>
      </c>
      <c r="AL311">
        <v>1</v>
      </c>
      <c r="AM311">
        <v>0</v>
      </c>
      <c r="AN311" t="s">
        <v>49</v>
      </c>
      <c r="AO311">
        <v>0.94423791821561343</v>
      </c>
      <c r="AP311">
        <v>155</v>
      </c>
    </row>
    <row r="312" spans="1:42" x14ac:dyDescent="0.35">
      <c r="A312">
        <v>97395</v>
      </c>
      <c r="B312">
        <v>8619</v>
      </c>
      <c r="C312">
        <v>950424</v>
      </c>
      <c r="D312">
        <v>483</v>
      </c>
      <c r="E312" s="147">
        <v>44207</v>
      </c>
      <c r="F312" t="s">
        <v>568</v>
      </c>
      <c r="G312" t="s">
        <v>145</v>
      </c>
      <c r="H312" s="147">
        <v>44209</v>
      </c>
      <c r="I312">
        <v>7</v>
      </c>
      <c r="J312" t="s">
        <v>200</v>
      </c>
      <c r="L312">
        <v>0</v>
      </c>
      <c r="M312">
        <v>0</v>
      </c>
      <c r="U312">
        <v>588</v>
      </c>
      <c r="V312">
        <v>509</v>
      </c>
      <c r="W312">
        <v>0</v>
      </c>
      <c r="X312">
        <v>0</v>
      </c>
      <c r="Y312">
        <v>18</v>
      </c>
      <c r="Z312">
        <v>14</v>
      </c>
      <c r="AA312">
        <v>0</v>
      </c>
      <c r="AB312">
        <v>0</v>
      </c>
      <c r="AC312">
        <v>5</v>
      </c>
      <c r="AD312">
        <v>2</v>
      </c>
      <c r="AG312" t="s">
        <v>255</v>
      </c>
      <c r="AH312" t="s">
        <v>435</v>
      </c>
      <c r="AI312">
        <v>300</v>
      </c>
      <c r="AJ312">
        <v>107</v>
      </c>
      <c r="AK312">
        <v>68</v>
      </c>
      <c r="AL312">
        <v>4</v>
      </c>
      <c r="AM312">
        <v>0</v>
      </c>
      <c r="AN312" t="s">
        <v>49</v>
      </c>
      <c r="AO312">
        <v>0.86564625850340138</v>
      </c>
      <c r="AP312">
        <v>178</v>
      </c>
    </row>
    <row r="313" spans="1:42" x14ac:dyDescent="0.35">
      <c r="A313">
        <v>97396</v>
      </c>
      <c r="B313">
        <v>8619</v>
      </c>
      <c r="C313">
        <v>950425</v>
      </c>
      <c r="D313">
        <v>403</v>
      </c>
      <c r="E313" s="147">
        <v>44207</v>
      </c>
      <c r="F313" t="s">
        <v>536</v>
      </c>
      <c r="G313" t="s">
        <v>147</v>
      </c>
      <c r="H313" s="147">
        <v>44209</v>
      </c>
      <c r="I313">
        <v>7</v>
      </c>
      <c r="J313" t="s">
        <v>200</v>
      </c>
      <c r="L313">
        <v>0</v>
      </c>
      <c r="M313">
        <v>0</v>
      </c>
      <c r="U313">
        <v>385</v>
      </c>
      <c r="V313">
        <v>313</v>
      </c>
      <c r="W313">
        <v>0</v>
      </c>
      <c r="X313">
        <v>0</v>
      </c>
      <c r="Y313">
        <v>23</v>
      </c>
      <c r="Z313">
        <v>13</v>
      </c>
      <c r="AA313">
        <v>0</v>
      </c>
      <c r="AB313">
        <v>0</v>
      </c>
      <c r="AC313">
        <v>1</v>
      </c>
      <c r="AD313">
        <v>1</v>
      </c>
      <c r="AG313" t="s">
        <v>255</v>
      </c>
      <c r="AH313" t="s">
        <v>435</v>
      </c>
      <c r="AI313">
        <v>158</v>
      </c>
      <c r="AJ313">
        <v>49</v>
      </c>
      <c r="AK313">
        <v>60</v>
      </c>
      <c r="AL313">
        <v>1</v>
      </c>
      <c r="AM313">
        <v>0</v>
      </c>
      <c r="AN313" t="s">
        <v>49</v>
      </c>
      <c r="AO313">
        <v>0.81298701298701304</v>
      </c>
      <c r="AP313">
        <v>89</v>
      </c>
    </row>
    <row r="314" spans="1:42" x14ac:dyDescent="0.35">
      <c r="A314">
        <v>97511</v>
      </c>
      <c r="B314">
        <v>8619</v>
      </c>
      <c r="C314">
        <v>950540</v>
      </c>
      <c r="D314">
        <v>384</v>
      </c>
      <c r="E314" s="147">
        <v>44207</v>
      </c>
      <c r="F314" t="s">
        <v>567</v>
      </c>
      <c r="G314" t="s">
        <v>80</v>
      </c>
      <c r="H314" s="147">
        <v>44210</v>
      </c>
      <c r="I314">
        <v>7</v>
      </c>
      <c r="J314" t="s">
        <v>198</v>
      </c>
      <c r="L314">
        <v>0</v>
      </c>
      <c r="M314">
        <v>0</v>
      </c>
      <c r="U314">
        <v>461</v>
      </c>
      <c r="V314">
        <v>415</v>
      </c>
      <c r="W314">
        <v>0</v>
      </c>
      <c r="X314">
        <v>0</v>
      </c>
      <c r="Y314">
        <v>29</v>
      </c>
      <c r="Z314">
        <v>26</v>
      </c>
      <c r="AA314">
        <v>0</v>
      </c>
      <c r="AB314">
        <v>0</v>
      </c>
      <c r="AC314">
        <v>12</v>
      </c>
      <c r="AD314">
        <v>4</v>
      </c>
      <c r="AG314" t="s">
        <v>255</v>
      </c>
      <c r="AH314" t="s">
        <v>435</v>
      </c>
      <c r="AI314">
        <v>262</v>
      </c>
      <c r="AJ314">
        <v>85</v>
      </c>
      <c r="AK314">
        <v>61</v>
      </c>
      <c r="AL314">
        <v>7</v>
      </c>
      <c r="AM314">
        <v>0</v>
      </c>
      <c r="AN314" t="s">
        <v>49</v>
      </c>
      <c r="AO314">
        <v>0.90021691973969631</v>
      </c>
      <c r="AP314">
        <v>139</v>
      </c>
    </row>
    <row r="315" spans="1:42" x14ac:dyDescent="0.35">
      <c r="A315">
        <v>97514</v>
      </c>
      <c r="B315">
        <v>8619</v>
      </c>
      <c r="C315">
        <v>950543</v>
      </c>
      <c r="D315">
        <v>510</v>
      </c>
      <c r="E315" s="147">
        <v>44207</v>
      </c>
      <c r="F315" t="s">
        <v>542</v>
      </c>
      <c r="G315" t="s">
        <v>107</v>
      </c>
      <c r="H315" s="147">
        <v>44210</v>
      </c>
      <c r="I315">
        <v>7</v>
      </c>
      <c r="J315" t="s">
        <v>198</v>
      </c>
      <c r="L315">
        <v>0</v>
      </c>
      <c r="M315">
        <v>0</v>
      </c>
      <c r="U315">
        <v>629</v>
      </c>
      <c r="V315">
        <v>568</v>
      </c>
      <c r="W315">
        <v>0</v>
      </c>
      <c r="X315">
        <v>0</v>
      </c>
      <c r="Y315">
        <v>36</v>
      </c>
      <c r="Z315">
        <v>35</v>
      </c>
      <c r="AA315">
        <v>0</v>
      </c>
      <c r="AB315">
        <v>0</v>
      </c>
      <c r="AC315">
        <v>28</v>
      </c>
      <c r="AD315">
        <v>15</v>
      </c>
      <c r="AG315" t="s">
        <v>255</v>
      </c>
      <c r="AH315" t="s">
        <v>435</v>
      </c>
      <c r="AI315">
        <v>367</v>
      </c>
      <c r="AJ315">
        <v>115</v>
      </c>
      <c r="AK315">
        <v>79</v>
      </c>
      <c r="AL315">
        <v>7</v>
      </c>
      <c r="AM315">
        <v>0</v>
      </c>
      <c r="AN315" t="s">
        <v>49</v>
      </c>
      <c r="AO315">
        <v>0.9030206677265501</v>
      </c>
      <c r="AP315">
        <v>192</v>
      </c>
    </row>
    <row r="316" spans="1:42" x14ac:dyDescent="0.35">
      <c r="A316">
        <v>97517</v>
      </c>
      <c r="B316">
        <v>8619</v>
      </c>
      <c r="C316">
        <v>950546</v>
      </c>
      <c r="D316">
        <v>325</v>
      </c>
      <c r="E316" s="147">
        <v>44207</v>
      </c>
      <c r="F316" t="s">
        <v>543</v>
      </c>
      <c r="G316" t="s">
        <v>113</v>
      </c>
      <c r="H316" s="147">
        <v>44210</v>
      </c>
      <c r="I316">
        <v>7</v>
      </c>
      <c r="J316" t="s">
        <v>198</v>
      </c>
      <c r="L316">
        <v>0</v>
      </c>
      <c r="M316">
        <v>0</v>
      </c>
      <c r="U316">
        <v>548</v>
      </c>
      <c r="V316">
        <v>518</v>
      </c>
      <c r="W316">
        <v>0</v>
      </c>
      <c r="X316">
        <v>0</v>
      </c>
      <c r="Y316">
        <v>18</v>
      </c>
      <c r="Z316">
        <v>16</v>
      </c>
      <c r="AA316">
        <v>0</v>
      </c>
      <c r="AB316">
        <v>0</v>
      </c>
      <c r="AC316">
        <v>8</v>
      </c>
      <c r="AD316">
        <v>8</v>
      </c>
      <c r="AG316" t="s">
        <v>255</v>
      </c>
      <c r="AH316" t="s">
        <v>435</v>
      </c>
      <c r="AI316">
        <v>231</v>
      </c>
      <c r="AJ316">
        <v>94</v>
      </c>
      <c r="AK316">
        <v>48</v>
      </c>
      <c r="AL316">
        <v>1</v>
      </c>
      <c r="AM316">
        <v>0</v>
      </c>
      <c r="AN316" t="s">
        <v>49</v>
      </c>
      <c r="AO316">
        <v>0.94525547445255476</v>
      </c>
      <c r="AP316">
        <v>151</v>
      </c>
    </row>
    <row r="317" spans="1:42" x14ac:dyDescent="0.35">
      <c r="A317">
        <v>97522</v>
      </c>
      <c r="B317">
        <v>8619</v>
      </c>
      <c r="C317">
        <v>950551</v>
      </c>
      <c r="D317">
        <v>483</v>
      </c>
      <c r="E317" s="147">
        <v>44207</v>
      </c>
      <c r="F317" t="s">
        <v>568</v>
      </c>
      <c r="G317" t="s">
        <v>145</v>
      </c>
      <c r="H317" s="147">
        <v>44210</v>
      </c>
      <c r="I317">
        <v>7</v>
      </c>
      <c r="J317" t="s">
        <v>198</v>
      </c>
      <c r="L317">
        <v>0</v>
      </c>
      <c r="M317">
        <v>0</v>
      </c>
      <c r="U317">
        <v>567</v>
      </c>
      <c r="V317">
        <v>509</v>
      </c>
      <c r="W317">
        <v>0</v>
      </c>
      <c r="X317">
        <v>0</v>
      </c>
      <c r="Y317">
        <v>18</v>
      </c>
      <c r="Z317">
        <v>15</v>
      </c>
      <c r="AA317">
        <v>0</v>
      </c>
      <c r="AB317">
        <v>0</v>
      </c>
      <c r="AC317">
        <v>5</v>
      </c>
      <c r="AD317">
        <v>1</v>
      </c>
      <c r="AG317" t="s">
        <v>255</v>
      </c>
      <c r="AH317" t="s">
        <v>435</v>
      </c>
      <c r="AI317">
        <v>309</v>
      </c>
      <c r="AJ317">
        <v>113</v>
      </c>
      <c r="AK317">
        <v>81</v>
      </c>
      <c r="AL317">
        <v>4</v>
      </c>
      <c r="AM317">
        <v>0</v>
      </c>
      <c r="AN317" t="s">
        <v>49</v>
      </c>
      <c r="AO317">
        <v>0.89770723104056438</v>
      </c>
      <c r="AP317">
        <v>190</v>
      </c>
    </row>
    <row r="318" spans="1:42" x14ac:dyDescent="0.35">
      <c r="A318">
        <v>97636</v>
      </c>
      <c r="B318">
        <v>8619</v>
      </c>
      <c r="C318">
        <v>950665</v>
      </c>
      <c r="D318">
        <v>508</v>
      </c>
      <c r="E318" s="147">
        <v>44207</v>
      </c>
      <c r="F318" t="s">
        <v>569</v>
      </c>
      <c r="G318" t="s">
        <v>71</v>
      </c>
      <c r="H318" s="147">
        <v>44211</v>
      </c>
      <c r="I318">
        <v>7</v>
      </c>
      <c r="J318" t="s">
        <v>194</v>
      </c>
      <c r="L318">
        <v>0</v>
      </c>
      <c r="M318">
        <v>0</v>
      </c>
      <c r="U318">
        <v>705</v>
      </c>
      <c r="V318">
        <v>618</v>
      </c>
      <c r="W318">
        <v>0</v>
      </c>
      <c r="X318">
        <v>0</v>
      </c>
      <c r="Y318">
        <v>52</v>
      </c>
      <c r="Z318">
        <v>28</v>
      </c>
      <c r="AA318">
        <v>0</v>
      </c>
      <c r="AB318">
        <v>0</v>
      </c>
      <c r="AC318">
        <v>4</v>
      </c>
      <c r="AD318">
        <v>3</v>
      </c>
      <c r="AG318" t="s">
        <v>255</v>
      </c>
      <c r="AH318" t="s">
        <v>435</v>
      </c>
      <c r="AI318">
        <v>315</v>
      </c>
      <c r="AJ318">
        <v>104</v>
      </c>
      <c r="AK318">
        <v>74</v>
      </c>
      <c r="AL318">
        <v>5</v>
      </c>
      <c r="AM318">
        <v>0</v>
      </c>
      <c r="AN318" t="s">
        <v>49</v>
      </c>
      <c r="AO318">
        <v>0.87659574468085111</v>
      </c>
      <c r="AP318">
        <v>167</v>
      </c>
    </row>
    <row r="319" spans="1:42" x14ac:dyDescent="0.35">
      <c r="A319">
        <v>97637</v>
      </c>
      <c r="B319">
        <v>8619</v>
      </c>
      <c r="C319">
        <v>950666</v>
      </c>
      <c r="D319">
        <v>402</v>
      </c>
      <c r="E319" s="147">
        <v>44207</v>
      </c>
      <c r="F319" t="s">
        <v>570</v>
      </c>
      <c r="G319" t="s">
        <v>72</v>
      </c>
      <c r="H319" s="147">
        <v>44211</v>
      </c>
      <c r="I319">
        <v>7</v>
      </c>
      <c r="J319" t="s">
        <v>194</v>
      </c>
      <c r="L319">
        <v>0</v>
      </c>
      <c r="M319">
        <v>0</v>
      </c>
      <c r="U319">
        <v>570</v>
      </c>
      <c r="V319">
        <v>476</v>
      </c>
      <c r="W319">
        <v>0</v>
      </c>
      <c r="X319">
        <v>0</v>
      </c>
      <c r="Y319">
        <v>19</v>
      </c>
      <c r="Z319">
        <v>17</v>
      </c>
      <c r="AA319">
        <v>0</v>
      </c>
      <c r="AB319">
        <v>0</v>
      </c>
      <c r="AC319">
        <v>38</v>
      </c>
      <c r="AD319">
        <v>26</v>
      </c>
      <c r="AG319" t="s">
        <v>255</v>
      </c>
      <c r="AH319" t="s">
        <v>435</v>
      </c>
      <c r="AI319">
        <v>214</v>
      </c>
      <c r="AJ319">
        <v>74</v>
      </c>
      <c r="AK319">
        <v>67</v>
      </c>
      <c r="AL319">
        <v>9</v>
      </c>
      <c r="AM319">
        <v>0</v>
      </c>
      <c r="AN319" t="s">
        <v>49</v>
      </c>
      <c r="AO319">
        <v>0.83508771929824566</v>
      </c>
      <c r="AP319">
        <v>109</v>
      </c>
    </row>
    <row r="320" spans="1:42" x14ac:dyDescent="0.35">
      <c r="A320">
        <v>97638</v>
      </c>
      <c r="B320">
        <v>8619</v>
      </c>
      <c r="C320">
        <v>950667</v>
      </c>
      <c r="D320">
        <v>384</v>
      </c>
      <c r="E320" s="147">
        <v>44207</v>
      </c>
      <c r="F320" t="s">
        <v>567</v>
      </c>
      <c r="G320" t="s">
        <v>80</v>
      </c>
      <c r="H320" s="147">
        <v>44211</v>
      </c>
      <c r="I320">
        <v>7</v>
      </c>
      <c r="J320" t="s">
        <v>194</v>
      </c>
      <c r="L320">
        <v>0</v>
      </c>
      <c r="M320">
        <v>0</v>
      </c>
      <c r="U320">
        <v>472</v>
      </c>
      <c r="V320">
        <v>423</v>
      </c>
      <c r="W320">
        <v>0</v>
      </c>
      <c r="X320">
        <v>0</v>
      </c>
      <c r="Y320">
        <v>29</v>
      </c>
      <c r="Z320">
        <v>27</v>
      </c>
      <c r="AA320">
        <v>0</v>
      </c>
      <c r="AB320">
        <v>0</v>
      </c>
      <c r="AC320">
        <v>12</v>
      </c>
      <c r="AD320">
        <v>7</v>
      </c>
      <c r="AG320" t="s">
        <v>255</v>
      </c>
      <c r="AH320" t="s">
        <v>435</v>
      </c>
      <c r="AI320">
        <v>256</v>
      </c>
      <c r="AJ320">
        <v>80</v>
      </c>
      <c r="AK320">
        <v>59</v>
      </c>
      <c r="AL320">
        <v>6</v>
      </c>
      <c r="AM320">
        <v>0</v>
      </c>
      <c r="AN320" t="s">
        <v>49</v>
      </c>
      <c r="AO320">
        <v>0.89618644067796616</v>
      </c>
      <c r="AP320">
        <v>136</v>
      </c>
    </row>
    <row r="321" spans="1:42" x14ac:dyDescent="0.35">
      <c r="A321">
        <v>97640</v>
      </c>
      <c r="B321">
        <v>8619</v>
      </c>
      <c r="C321">
        <v>950669</v>
      </c>
      <c r="D321">
        <v>513</v>
      </c>
      <c r="E321" s="147">
        <v>44207</v>
      </c>
      <c r="F321" t="s">
        <v>571</v>
      </c>
      <c r="G321" t="s">
        <v>89</v>
      </c>
      <c r="H321" s="147">
        <v>44211</v>
      </c>
      <c r="I321">
        <v>7</v>
      </c>
      <c r="J321" t="s">
        <v>194</v>
      </c>
      <c r="L321">
        <v>0</v>
      </c>
      <c r="M321">
        <v>0</v>
      </c>
      <c r="U321">
        <v>844</v>
      </c>
      <c r="V321">
        <v>747</v>
      </c>
      <c r="W321">
        <v>0</v>
      </c>
      <c r="X321">
        <v>0</v>
      </c>
      <c r="Y321">
        <v>52</v>
      </c>
      <c r="Z321">
        <v>50</v>
      </c>
      <c r="AA321">
        <v>0</v>
      </c>
      <c r="AB321">
        <v>0</v>
      </c>
      <c r="AC321">
        <v>8</v>
      </c>
      <c r="AD321">
        <v>7</v>
      </c>
      <c r="AG321" t="s">
        <v>255</v>
      </c>
      <c r="AH321" t="s">
        <v>435</v>
      </c>
      <c r="AI321">
        <v>383</v>
      </c>
      <c r="AJ321">
        <v>158</v>
      </c>
      <c r="AK321">
        <v>113</v>
      </c>
      <c r="AL321">
        <v>23</v>
      </c>
      <c r="AM321">
        <v>0</v>
      </c>
      <c r="AN321" t="s">
        <v>49</v>
      </c>
      <c r="AO321">
        <v>0.88507109004739337</v>
      </c>
      <c r="AP321">
        <v>242</v>
      </c>
    </row>
    <row r="322" spans="1:42" x14ac:dyDescent="0.35">
      <c r="A322">
        <v>97650</v>
      </c>
      <c r="B322">
        <v>8619</v>
      </c>
      <c r="C322">
        <v>950679</v>
      </c>
      <c r="D322">
        <v>403</v>
      </c>
      <c r="E322" s="147">
        <v>44207</v>
      </c>
      <c r="F322" t="s">
        <v>536</v>
      </c>
      <c r="G322" t="s">
        <v>147</v>
      </c>
      <c r="H322" s="147">
        <v>44211</v>
      </c>
      <c r="I322">
        <v>7</v>
      </c>
      <c r="J322" t="s">
        <v>194</v>
      </c>
      <c r="L322">
        <v>0</v>
      </c>
      <c r="M322">
        <v>0</v>
      </c>
      <c r="U322">
        <v>385</v>
      </c>
      <c r="V322">
        <v>313</v>
      </c>
      <c r="W322">
        <v>0</v>
      </c>
      <c r="X322">
        <v>0</v>
      </c>
      <c r="Y322">
        <v>23</v>
      </c>
      <c r="Z322">
        <v>15</v>
      </c>
      <c r="AA322">
        <v>0</v>
      </c>
      <c r="AB322">
        <v>0</v>
      </c>
      <c r="AC322">
        <v>1</v>
      </c>
      <c r="AD322">
        <v>1</v>
      </c>
      <c r="AG322" t="s">
        <v>255</v>
      </c>
      <c r="AH322" t="s">
        <v>435</v>
      </c>
      <c r="AI322">
        <v>152</v>
      </c>
      <c r="AJ322">
        <v>50</v>
      </c>
      <c r="AK322">
        <v>81</v>
      </c>
      <c r="AL322">
        <v>7</v>
      </c>
      <c r="AM322">
        <v>0</v>
      </c>
      <c r="AN322" t="s">
        <v>49</v>
      </c>
      <c r="AO322">
        <v>0.81298701298701304</v>
      </c>
      <c r="AP322">
        <v>79</v>
      </c>
    </row>
    <row r="323" spans="1:42" x14ac:dyDescent="0.35">
      <c r="A323">
        <v>97654</v>
      </c>
      <c r="B323">
        <v>8619</v>
      </c>
      <c r="C323">
        <v>950683</v>
      </c>
      <c r="D323">
        <v>439</v>
      </c>
      <c r="E323" s="147">
        <v>44207</v>
      </c>
      <c r="F323" t="s">
        <v>510</v>
      </c>
      <c r="G323" t="s">
        <v>170</v>
      </c>
      <c r="H323" s="147">
        <v>44211</v>
      </c>
      <c r="I323">
        <v>7</v>
      </c>
      <c r="J323" t="s">
        <v>194</v>
      </c>
      <c r="L323">
        <v>0</v>
      </c>
      <c r="M323">
        <v>0</v>
      </c>
      <c r="U323">
        <v>345</v>
      </c>
      <c r="V323">
        <v>334</v>
      </c>
      <c r="W323">
        <v>0</v>
      </c>
      <c r="X323">
        <v>0</v>
      </c>
      <c r="Y323">
        <v>15</v>
      </c>
      <c r="Z323">
        <v>15</v>
      </c>
      <c r="AA323">
        <v>0</v>
      </c>
      <c r="AB323">
        <v>0</v>
      </c>
      <c r="AC323">
        <v>2</v>
      </c>
      <c r="AD323">
        <v>2</v>
      </c>
      <c r="AG323" t="s">
        <v>255</v>
      </c>
      <c r="AH323" t="s">
        <v>435</v>
      </c>
      <c r="AI323">
        <v>167</v>
      </c>
      <c r="AJ323">
        <v>48</v>
      </c>
      <c r="AK323">
        <v>87</v>
      </c>
      <c r="AL323">
        <v>6</v>
      </c>
      <c r="AM323">
        <v>0</v>
      </c>
      <c r="AN323" t="s">
        <v>49</v>
      </c>
      <c r="AO323">
        <v>0.96811594202898554</v>
      </c>
      <c r="AP323">
        <v>86</v>
      </c>
    </row>
    <row r="324" spans="1:42" x14ac:dyDescent="0.35">
      <c r="A324">
        <v>97763</v>
      </c>
      <c r="B324">
        <v>8619</v>
      </c>
      <c r="C324">
        <v>950792</v>
      </c>
      <c r="D324">
        <v>508</v>
      </c>
      <c r="E324" s="147">
        <v>44207</v>
      </c>
      <c r="F324" t="s">
        <v>569</v>
      </c>
      <c r="G324" t="s">
        <v>71</v>
      </c>
      <c r="H324" s="147">
        <v>44212</v>
      </c>
      <c r="I324">
        <v>7</v>
      </c>
      <c r="J324" t="s">
        <v>196</v>
      </c>
      <c r="L324">
        <v>0</v>
      </c>
      <c r="M324">
        <v>0</v>
      </c>
      <c r="U324">
        <v>705</v>
      </c>
      <c r="V324">
        <v>606</v>
      </c>
      <c r="W324">
        <v>0</v>
      </c>
      <c r="X324">
        <v>0</v>
      </c>
      <c r="Y324">
        <v>52</v>
      </c>
      <c r="Z324">
        <v>29</v>
      </c>
      <c r="AA324">
        <v>0</v>
      </c>
      <c r="AB324">
        <v>0</v>
      </c>
      <c r="AC324">
        <v>4</v>
      </c>
      <c r="AD324">
        <v>4</v>
      </c>
      <c r="AG324" t="s">
        <v>255</v>
      </c>
      <c r="AH324" t="s">
        <v>435</v>
      </c>
      <c r="AI324">
        <v>298</v>
      </c>
      <c r="AJ324">
        <v>100</v>
      </c>
      <c r="AK324">
        <v>79</v>
      </c>
      <c r="AL324">
        <v>3</v>
      </c>
      <c r="AM324">
        <v>0</v>
      </c>
      <c r="AN324" t="s">
        <v>49</v>
      </c>
      <c r="AO324">
        <v>0.8595744680851064</v>
      </c>
      <c r="AP324">
        <v>164</v>
      </c>
    </row>
    <row r="325" spans="1:42" x14ac:dyDescent="0.35">
      <c r="A325">
        <v>97764</v>
      </c>
      <c r="B325">
        <v>8619</v>
      </c>
      <c r="C325">
        <v>950793</v>
      </c>
      <c r="D325">
        <v>402</v>
      </c>
      <c r="E325" s="147">
        <v>44207</v>
      </c>
      <c r="F325" t="s">
        <v>570</v>
      </c>
      <c r="G325" t="s">
        <v>72</v>
      </c>
      <c r="H325" s="147">
        <v>44212</v>
      </c>
      <c r="I325">
        <v>7</v>
      </c>
      <c r="J325" t="s">
        <v>196</v>
      </c>
      <c r="L325">
        <v>0</v>
      </c>
      <c r="M325">
        <v>0</v>
      </c>
      <c r="U325">
        <v>570</v>
      </c>
      <c r="V325">
        <v>474</v>
      </c>
      <c r="W325">
        <v>0</v>
      </c>
      <c r="X325">
        <v>0</v>
      </c>
      <c r="Y325">
        <v>19</v>
      </c>
      <c r="Z325">
        <v>17</v>
      </c>
      <c r="AA325">
        <v>0</v>
      </c>
      <c r="AB325">
        <v>0</v>
      </c>
      <c r="AC325">
        <v>38</v>
      </c>
      <c r="AD325">
        <v>29</v>
      </c>
      <c r="AG325" t="s">
        <v>255</v>
      </c>
      <c r="AH325" t="s">
        <v>435</v>
      </c>
      <c r="AI325">
        <v>215</v>
      </c>
      <c r="AJ325">
        <v>72</v>
      </c>
      <c r="AK325">
        <v>80</v>
      </c>
      <c r="AL325">
        <v>9</v>
      </c>
      <c r="AM325">
        <v>0</v>
      </c>
      <c r="AN325" t="s">
        <v>49</v>
      </c>
      <c r="AO325">
        <v>0.83157894736842108</v>
      </c>
      <c r="AP325">
        <v>116</v>
      </c>
    </row>
    <row r="326" spans="1:42" x14ac:dyDescent="0.35">
      <c r="A326">
        <v>97765</v>
      </c>
      <c r="B326">
        <v>8619</v>
      </c>
      <c r="C326">
        <v>950794</v>
      </c>
      <c r="D326">
        <v>384</v>
      </c>
      <c r="E326" s="147">
        <v>44207</v>
      </c>
      <c r="F326" t="s">
        <v>567</v>
      </c>
      <c r="G326" t="s">
        <v>80</v>
      </c>
      <c r="H326" s="147">
        <v>44212</v>
      </c>
      <c r="I326">
        <v>7</v>
      </c>
      <c r="J326" t="s">
        <v>196</v>
      </c>
      <c r="L326">
        <v>0</v>
      </c>
      <c r="M326">
        <v>0</v>
      </c>
      <c r="U326">
        <v>470</v>
      </c>
      <c r="V326">
        <v>423</v>
      </c>
      <c r="W326">
        <v>0</v>
      </c>
      <c r="X326">
        <v>0</v>
      </c>
      <c r="Y326">
        <v>29</v>
      </c>
      <c r="Z326">
        <v>27</v>
      </c>
      <c r="AA326">
        <v>0</v>
      </c>
      <c r="AB326">
        <v>0</v>
      </c>
      <c r="AC326">
        <v>12</v>
      </c>
      <c r="AD326">
        <v>6</v>
      </c>
      <c r="AG326" t="s">
        <v>255</v>
      </c>
      <c r="AH326" t="s">
        <v>435</v>
      </c>
      <c r="AI326">
        <v>256</v>
      </c>
      <c r="AJ326">
        <v>81</v>
      </c>
      <c r="AK326">
        <v>60</v>
      </c>
      <c r="AL326">
        <v>3</v>
      </c>
      <c r="AM326">
        <v>0</v>
      </c>
      <c r="AN326" t="s">
        <v>49</v>
      </c>
      <c r="AO326">
        <v>0.9</v>
      </c>
      <c r="AP326">
        <v>132</v>
      </c>
    </row>
    <row r="327" spans="1:42" x14ac:dyDescent="0.35">
      <c r="A327">
        <v>97772</v>
      </c>
      <c r="B327">
        <v>8619</v>
      </c>
      <c r="C327">
        <v>950801</v>
      </c>
      <c r="D327">
        <v>476</v>
      </c>
      <c r="E327" s="147">
        <v>44207</v>
      </c>
      <c r="F327" t="s">
        <v>572</v>
      </c>
      <c r="G327" t="s">
        <v>127</v>
      </c>
      <c r="H327" s="147">
        <v>44212</v>
      </c>
      <c r="I327">
        <v>7</v>
      </c>
      <c r="J327" t="s">
        <v>196</v>
      </c>
      <c r="L327">
        <v>0</v>
      </c>
      <c r="M327">
        <v>0</v>
      </c>
      <c r="U327">
        <v>1046</v>
      </c>
      <c r="V327">
        <v>812</v>
      </c>
      <c r="W327">
        <v>0</v>
      </c>
      <c r="X327">
        <v>0</v>
      </c>
      <c r="Y327">
        <v>45</v>
      </c>
      <c r="Z327">
        <v>36</v>
      </c>
      <c r="AA327">
        <v>0</v>
      </c>
      <c r="AB327">
        <v>0</v>
      </c>
      <c r="AC327">
        <v>11</v>
      </c>
      <c r="AD327">
        <v>6</v>
      </c>
      <c r="AG327" t="s">
        <v>255</v>
      </c>
      <c r="AH327" t="s">
        <v>435</v>
      </c>
      <c r="AI327">
        <v>334</v>
      </c>
      <c r="AJ327">
        <v>115</v>
      </c>
      <c r="AK327">
        <v>181</v>
      </c>
      <c r="AL327">
        <v>13</v>
      </c>
      <c r="AM327">
        <v>0</v>
      </c>
      <c r="AN327" t="s">
        <v>49</v>
      </c>
      <c r="AO327">
        <v>0.77629063097514339</v>
      </c>
      <c r="AP327">
        <v>197</v>
      </c>
    </row>
    <row r="328" spans="1:42" x14ac:dyDescent="0.35">
      <c r="A328">
        <v>97776</v>
      </c>
      <c r="B328">
        <v>8619</v>
      </c>
      <c r="C328">
        <v>950805</v>
      </c>
      <c r="D328">
        <v>483</v>
      </c>
      <c r="E328" s="147">
        <v>44207</v>
      </c>
      <c r="F328" t="s">
        <v>568</v>
      </c>
      <c r="G328" t="s">
        <v>145</v>
      </c>
      <c r="H328" s="147">
        <v>44212</v>
      </c>
      <c r="I328">
        <v>7</v>
      </c>
      <c r="J328" t="s">
        <v>196</v>
      </c>
      <c r="L328">
        <v>0</v>
      </c>
      <c r="M328">
        <v>0</v>
      </c>
      <c r="U328">
        <v>565</v>
      </c>
      <c r="V328">
        <v>486</v>
      </c>
      <c r="W328">
        <v>0</v>
      </c>
      <c r="X328">
        <v>0</v>
      </c>
      <c r="Y328">
        <v>22</v>
      </c>
      <c r="Z328">
        <v>16</v>
      </c>
      <c r="AA328">
        <v>0</v>
      </c>
      <c r="AB328">
        <v>0</v>
      </c>
      <c r="AC328">
        <v>5</v>
      </c>
      <c r="AD328">
        <v>1</v>
      </c>
      <c r="AG328" t="s">
        <v>255</v>
      </c>
      <c r="AH328" t="s">
        <v>435</v>
      </c>
      <c r="AI328">
        <v>277</v>
      </c>
      <c r="AJ328">
        <v>113</v>
      </c>
      <c r="AK328">
        <v>83</v>
      </c>
      <c r="AL328">
        <v>7</v>
      </c>
      <c r="AM328">
        <v>0</v>
      </c>
      <c r="AN328" t="s">
        <v>49</v>
      </c>
      <c r="AO328">
        <v>0.86017699115044244</v>
      </c>
      <c r="AP328">
        <v>168</v>
      </c>
    </row>
    <row r="329" spans="1:42" x14ac:dyDescent="0.35">
      <c r="A329">
        <v>97777</v>
      </c>
      <c r="B329">
        <v>8619</v>
      </c>
      <c r="C329">
        <v>950806</v>
      </c>
      <c r="D329">
        <v>403</v>
      </c>
      <c r="E329" s="147">
        <v>44207</v>
      </c>
      <c r="F329" t="s">
        <v>536</v>
      </c>
      <c r="G329" t="s">
        <v>147</v>
      </c>
      <c r="H329" s="147">
        <v>44212</v>
      </c>
      <c r="I329">
        <v>7</v>
      </c>
      <c r="J329" t="s">
        <v>196</v>
      </c>
      <c r="L329">
        <v>0</v>
      </c>
      <c r="M329">
        <v>0</v>
      </c>
      <c r="U329">
        <v>385</v>
      </c>
      <c r="V329">
        <v>313</v>
      </c>
      <c r="W329">
        <v>0</v>
      </c>
      <c r="X329">
        <v>0</v>
      </c>
      <c r="Y329">
        <v>23</v>
      </c>
      <c r="Z329">
        <v>15</v>
      </c>
      <c r="AA329">
        <v>0</v>
      </c>
      <c r="AB329">
        <v>0</v>
      </c>
      <c r="AC329">
        <v>1</v>
      </c>
      <c r="AD329">
        <v>1</v>
      </c>
      <c r="AG329" t="s">
        <v>255</v>
      </c>
      <c r="AH329" t="s">
        <v>435</v>
      </c>
      <c r="AI329">
        <v>147</v>
      </c>
      <c r="AJ329">
        <v>48</v>
      </c>
      <c r="AK329">
        <v>51</v>
      </c>
      <c r="AL329">
        <v>1</v>
      </c>
      <c r="AM329">
        <v>0</v>
      </c>
      <c r="AN329" t="s">
        <v>49</v>
      </c>
      <c r="AO329">
        <v>0.81298701298701304</v>
      </c>
      <c r="AP329">
        <v>76</v>
      </c>
    </row>
    <row r="330" spans="1:42" x14ac:dyDescent="0.35">
      <c r="A330">
        <v>97781</v>
      </c>
      <c r="B330">
        <v>8619</v>
      </c>
      <c r="C330">
        <v>950810</v>
      </c>
      <c r="D330">
        <v>439</v>
      </c>
      <c r="E330" s="147">
        <v>44207</v>
      </c>
      <c r="F330" t="s">
        <v>510</v>
      </c>
      <c r="G330" t="s">
        <v>170</v>
      </c>
      <c r="H330" s="147">
        <v>44212</v>
      </c>
      <c r="I330">
        <v>7</v>
      </c>
      <c r="J330" t="s">
        <v>196</v>
      </c>
      <c r="L330">
        <v>0</v>
      </c>
      <c r="M330">
        <v>0</v>
      </c>
      <c r="U330">
        <v>347</v>
      </c>
      <c r="V330">
        <v>322</v>
      </c>
      <c r="W330">
        <v>0</v>
      </c>
      <c r="X330">
        <v>0</v>
      </c>
      <c r="Y330">
        <v>15</v>
      </c>
      <c r="Z330">
        <v>15</v>
      </c>
      <c r="AA330">
        <v>0</v>
      </c>
      <c r="AB330">
        <v>0</v>
      </c>
      <c r="AC330">
        <v>2</v>
      </c>
      <c r="AD330">
        <v>2</v>
      </c>
      <c r="AG330" t="s">
        <v>255</v>
      </c>
      <c r="AH330" t="s">
        <v>435</v>
      </c>
      <c r="AI330">
        <v>160</v>
      </c>
      <c r="AJ330">
        <v>46</v>
      </c>
      <c r="AK330">
        <v>75</v>
      </c>
      <c r="AL330">
        <v>3</v>
      </c>
      <c r="AM330">
        <v>0</v>
      </c>
      <c r="AN330" t="s">
        <v>49</v>
      </c>
      <c r="AO330">
        <v>0.9279538904899135</v>
      </c>
      <c r="AP330">
        <v>83</v>
      </c>
    </row>
    <row r="331" spans="1:42" x14ac:dyDescent="0.35">
      <c r="A331">
        <v>97890</v>
      </c>
      <c r="B331">
        <v>8619</v>
      </c>
      <c r="C331">
        <v>950919</v>
      </c>
      <c r="D331">
        <v>508</v>
      </c>
      <c r="E331" s="147">
        <v>44207</v>
      </c>
      <c r="F331" t="s">
        <v>569</v>
      </c>
      <c r="G331" t="s">
        <v>71</v>
      </c>
      <c r="H331" s="147">
        <v>44213</v>
      </c>
      <c r="I331">
        <v>7</v>
      </c>
      <c r="J331" t="s">
        <v>197</v>
      </c>
      <c r="L331">
        <v>0</v>
      </c>
      <c r="M331">
        <v>0</v>
      </c>
      <c r="U331">
        <v>705</v>
      </c>
      <c r="V331">
        <v>612</v>
      </c>
      <c r="W331">
        <v>0</v>
      </c>
      <c r="X331">
        <v>0</v>
      </c>
      <c r="Y331">
        <v>52</v>
      </c>
      <c r="Z331">
        <v>30</v>
      </c>
      <c r="AA331">
        <v>0</v>
      </c>
      <c r="AB331">
        <v>0</v>
      </c>
      <c r="AC331">
        <v>4</v>
      </c>
      <c r="AD331">
        <v>4</v>
      </c>
      <c r="AG331" t="s">
        <v>255</v>
      </c>
      <c r="AH331" t="s">
        <v>435</v>
      </c>
      <c r="AI331">
        <v>300</v>
      </c>
      <c r="AJ331">
        <v>98</v>
      </c>
      <c r="AK331">
        <v>78</v>
      </c>
      <c r="AL331">
        <v>4</v>
      </c>
      <c r="AM331">
        <v>0</v>
      </c>
      <c r="AN331" t="s">
        <v>49</v>
      </c>
      <c r="AO331">
        <v>0.86808510638297876</v>
      </c>
      <c r="AP331">
        <v>160</v>
      </c>
    </row>
    <row r="332" spans="1:42" x14ac:dyDescent="0.35">
      <c r="A332">
        <v>97892</v>
      </c>
      <c r="B332">
        <v>8619</v>
      </c>
      <c r="C332">
        <v>950921</v>
      </c>
      <c r="D332">
        <v>384</v>
      </c>
      <c r="E332" s="147">
        <v>44207</v>
      </c>
      <c r="F332" t="s">
        <v>567</v>
      </c>
      <c r="G332" t="s">
        <v>80</v>
      </c>
      <c r="H332" s="147">
        <v>44213</v>
      </c>
      <c r="I332">
        <v>7</v>
      </c>
      <c r="J332" t="s">
        <v>197</v>
      </c>
      <c r="L332">
        <v>0</v>
      </c>
      <c r="M332">
        <v>0</v>
      </c>
      <c r="U332">
        <v>467</v>
      </c>
      <c r="V332">
        <v>420</v>
      </c>
      <c r="W332">
        <v>0</v>
      </c>
      <c r="X332">
        <v>0</v>
      </c>
      <c r="Y332">
        <v>29</v>
      </c>
      <c r="Z332">
        <v>29</v>
      </c>
      <c r="AA332">
        <v>0</v>
      </c>
      <c r="AB332">
        <v>0</v>
      </c>
      <c r="AC332">
        <v>12</v>
      </c>
      <c r="AD332">
        <v>5</v>
      </c>
      <c r="AG332" t="s">
        <v>255</v>
      </c>
      <c r="AH332" t="s">
        <v>435</v>
      </c>
      <c r="AI332">
        <v>241</v>
      </c>
      <c r="AJ332">
        <v>76</v>
      </c>
      <c r="AK332">
        <v>44</v>
      </c>
      <c r="AL332">
        <v>4</v>
      </c>
      <c r="AM332">
        <v>0</v>
      </c>
      <c r="AN332" t="s">
        <v>49</v>
      </c>
      <c r="AO332">
        <v>0.89935760171306212</v>
      </c>
      <c r="AP332">
        <v>125</v>
      </c>
    </row>
    <row r="333" spans="1:42" x14ac:dyDescent="0.35">
      <c r="A333">
        <v>97894</v>
      </c>
      <c r="B333">
        <v>8619</v>
      </c>
      <c r="C333">
        <v>950923</v>
      </c>
      <c r="D333">
        <v>513</v>
      </c>
      <c r="E333" s="147">
        <v>44207</v>
      </c>
      <c r="F333" t="s">
        <v>571</v>
      </c>
      <c r="G333" t="s">
        <v>89</v>
      </c>
      <c r="H333" s="147">
        <v>44213</v>
      </c>
      <c r="I333">
        <v>7</v>
      </c>
      <c r="J333" t="s">
        <v>197</v>
      </c>
      <c r="L333">
        <v>0</v>
      </c>
      <c r="M333">
        <v>0</v>
      </c>
      <c r="U333">
        <v>829</v>
      </c>
      <c r="V333">
        <v>743</v>
      </c>
      <c r="W333">
        <v>0</v>
      </c>
      <c r="X333">
        <v>0</v>
      </c>
      <c r="Y333">
        <v>52</v>
      </c>
      <c r="Z333">
        <v>42</v>
      </c>
      <c r="AA333">
        <v>0</v>
      </c>
      <c r="AB333">
        <v>0</v>
      </c>
      <c r="AC333">
        <v>8</v>
      </c>
      <c r="AD333">
        <v>7</v>
      </c>
      <c r="AG333" t="s">
        <v>255</v>
      </c>
      <c r="AH333" t="s">
        <v>435</v>
      </c>
      <c r="AI333">
        <v>374</v>
      </c>
      <c r="AJ333">
        <v>156</v>
      </c>
      <c r="AK333">
        <v>118</v>
      </c>
      <c r="AL333">
        <v>20</v>
      </c>
      <c r="AM333">
        <v>0</v>
      </c>
      <c r="AN333" t="s">
        <v>49</v>
      </c>
      <c r="AO333">
        <v>0.89626055488540413</v>
      </c>
      <c r="AP333">
        <v>224</v>
      </c>
    </row>
    <row r="334" spans="1:42" x14ac:dyDescent="0.35">
      <c r="A334">
        <v>97895</v>
      </c>
      <c r="B334">
        <v>8619</v>
      </c>
      <c r="C334">
        <v>950924</v>
      </c>
      <c r="D334">
        <v>510</v>
      </c>
      <c r="E334" s="147">
        <v>44207</v>
      </c>
      <c r="F334" t="s">
        <v>542</v>
      </c>
      <c r="G334" t="s">
        <v>107</v>
      </c>
      <c r="H334" s="147">
        <v>44213</v>
      </c>
      <c r="I334">
        <v>7</v>
      </c>
      <c r="J334" t="s">
        <v>197</v>
      </c>
      <c r="L334">
        <v>0</v>
      </c>
      <c r="M334">
        <v>0</v>
      </c>
      <c r="U334">
        <v>641</v>
      </c>
      <c r="V334">
        <v>579</v>
      </c>
      <c r="W334">
        <v>0</v>
      </c>
      <c r="X334">
        <v>0</v>
      </c>
      <c r="Y334">
        <v>42</v>
      </c>
      <c r="Z334">
        <v>42</v>
      </c>
      <c r="AA334">
        <v>0</v>
      </c>
      <c r="AB334">
        <v>0</v>
      </c>
      <c r="AC334">
        <v>28</v>
      </c>
      <c r="AD334">
        <v>13</v>
      </c>
      <c r="AG334" t="s">
        <v>255</v>
      </c>
      <c r="AH334" t="s">
        <v>435</v>
      </c>
      <c r="AI334">
        <v>365</v>
      </c>
      <c r="AJ334">
        <v>118</v>
      </c>
      <c r="AK334">
        <v>84</v>
      </c>
      <c r="AL334">
        <v>2</v>
      </c>
      <c r="AM334">
        <v>0</v>
      </c>
      <c r="AN334" t="s">
        <v>49</v>
      </c>
      <c r="AO334">
        <v>0.90327613104524185</v>
      </c>
      <c r="AP334">
        <v>194</v>
      </c>
    </row>
    <row r="335" spans="1:42" x14ac:dyDescent="0.35">
      <c r="A335">
        <v>97898</v>
      </c>
      <c r="B335">
        <v>8619</v>
      </c>
      <c r="C335">
        <v>950927</v>
      </c>
      <c r="D335">
        <v>325</v>
      </c>
      <c r="E335" s="147">
        <v>44207</v>
      </c>
      <c r="F335" t="s">
        <v>543</v>
      </c>
      <c r="G335" t="s">
        <v>113</v>
      </c>
      <c r="H335" s="147">
        <v>44213</v>
      </c>
      <c r="I335">
        <v>7</v>
      </c>
      <c r="J335" t="s">
        <v>197</v>
      </c>
      <c r="L335">
        <v>0</v>
      </c>
      <c r="M335">
        <v>0</v>
      </c>
      <c r="U335">
        <v>537</v>
      </c>
      <c r="V335">
        <v>449</v>
      </c>
      <c r="W335">
        <v>0</v>
      </c>
      <c r="X335">
        <v>0</v>
      </c>
      <c r="Y335">
        <v>18</v>
      </c>
      <c r="Z335">
        <v>18</v>
      </c>
      <c r="AA335">
        <v>0</v>
      </c>
      <c r="AB335">
        <v>0</v>
      </c>
      <c r="AC335">
        <v>8</v>
      </c>
      <c r="AD335">
        <v>8</v>
      </c>
      <c r="AG335" t="s">
        <v>255</v>
      </c>
      <c r="AH335" t="s">
        <v>435</v>
      </c>
      <c r="AI335">
        <v>205</v>
      </c>
      <c r="AJ335">
        <v>92</v>
      </c>
      <c r="AK335">
        <v>65</v>
      </c>
      <c r="AL335">
        <v>3</v>
      </c>
      <c r="AM335">
        <v>0</v>
      </c>
      <c r="AN335" t="s">
        <v>49</v>
      </c>
      <c r="AO335">
        <v>0.83612662942271876</v>
      </c>
      <c r="AP335">
        <v>130</v>
      </c>
    </row>
    <row r="336" spans="1:42" x14ac:dyDescent="0.35">
      <c r="A336">
        <v>97899</v>
      </c>
      <c r="B336">
        <v>8619</v>
      </c>
      <c r="C336">
        <v>950928</v>
      </c>
      <c r="D336">
        <v>476</v>
      </c>
      <c r="E336" s="147">
        <v>44207</v>
      </c>
      <c r="F336" t="s">
        <v>572</v>
      </c>
      <c r="G336" t="s">
        <v>127</v>
      </c>
      <c r="H336" s="147">
        <v>44213</v>
      </c>
      <c r="I336">
        <v>7</v>
      </c>
      <c r="J336" t="s">
        <v>197</v>
      </c>
      <c r="L336">
        <v>0</v>
      </c>
      <c r="M336">
        <v>0</v>
      </c>
      <c r="U336">
        <v>1023</v>
      </c>
      <c r="V336">
        <v>819</v>
      </c>
      <c r="W336">
        <v>0</v>
      </c>
      <c r="X336">
        <v>0</v>
      </c>
      <c r="Y336">
        <v>45</v>
      </c>
      <c r="Z336">
        <v>36</v>
      </c>
      <c r="AA336">
        <v>0</v>
      </c>
      <c r="AB336">
        <v>0</v>
      </c>
      <c r="AC336">
        <v>11</v>
      </c>
      <c r="AD336">
        <v>5</v>
      </c>
      <c r="AG336" t="s">
        <v>255</v>
      </c>
      <c r="AH336" t="s">
        <v>435</v>
      </c>
      <c r="AI336">
        <v>350</v>
      </c>
      <c r="AJ336">
        <v>119</v>
      </c>
      <c r="AK336">
        <v>200</v>
      </c>
      <c r="AL336">
        <v>15</v>
      </c>
      <c r="AM336">
        <v>0</v>
      </c>
      <c r="AN336" t="s">
        <v>49</v>
      </c>
      <c r="AO336">
        <v>0.80058651026392957</v>
      </c>
      <c r="AP336">
        <v>198</v>
      </c>
    </row>
    <row r="337" spans="1:42" x14ac:dyDescent="0.35">
      <c r="A337">
        <v>97908</v>
      </c>
      <c r="B337">
        <v>8619</v>
      </c>
      <c r="C337">
        <v>950937</v>
      </c>
      <c r="D337">
        <v>439</v>
      </c>
      <c r="E337" s="147">
        <v>44207</v>
      </c>
      <c r="F337" t="s">
        <v>510</v>
      </c>
      <c r="G337" t="s">
        <v>170</v>
      </c>
      <c r="H337" s="147">
        <v>44213</v>
      </c>
      <c r="I337">
        <v>7</v>
      </c>
      <c r="J337" t="s">
        <v>197</v>
      </c>
      <c r="L337">
        <v>0</v>
      </c>
      <c r="M337">
        <v>0</v>
      </c>
      <c r="U337">
        <v>347</v>
      </c>
      <c r="V337">
        <v>331</v>
      </c>
      <c r="W337">
        <v>0</v>
      </c>
      <c r="X337">
        <v>0</v>
      </c>
      <c r="Y337">
        <v>17</v>
      </c>
      <c r="Z337">
        <v>15</v>
      </c>
      <c r="AA337">
        <v>0</v>
      </c>
      <c r="AB337">
        <v>0</v>
      </c>
      <c r="AC337">
        <v>2</v>
      </c>
      <c r="AD337">
        <v>2</v>
      </c>
      <c r="AG337" t="s">
        <v>255</v>
      </c>
      <c r="AH337" t="s">
        <v>435</v>
      </c>
      <c r="AI337">
        <v>158</v>
      </c>
      <c r="AJ337">
        <v>44</v>
      </c>
      <c r="AK337">
        <v>73</v>
      </c>
      <c r="AL337">
        <v>4</v>
      </c>
      <c r="AM337">
        <v>0</v>
      </c>
      <c r="AN337" t="s">
        <v>49</v>
      </c>
      <c r="AO337">
        <v>0.95389048991354464</v>
      </c>
      <c r="AP337">
        <v>80</v>
      </c>
    </row>
    <row r="338" spans="1:42" x14ac:dyDescent="0.35">
      <c r="A338">
        <v>97118</v>
      </c>
      <c r="B338">
        <v>8619</v>
      </c>
      <c r="C338">
        <v>950147</v>
      </c>
      <c r="D338">
        <v>382</v>
      </c>
      <c r="E338" s="147">
        <v>44207</v>
      </c>
      <c r="F338" t="s">
        <v>573</v>
      </c>
      <c r="G338" t="s">
        <v>123</v>
      </c>
      <c r="H338" s="147">
        <v>44207</v>
      </c>
      <c r="I338">
        <v>7</v>
      </c>
      <c r="J338" t="s">
        <v>195</v>
      </c>
      <c r="L338">
        <v>0</v>
      </c>
      <c r="M338">
        <v>0</v>
      </c>
      <c r="U338">
        <v>576</v>
      </c>
      <c r="V338">
        <v>498</v>
      </c>
      <c r="W338">
        <v>0</v>
      </c>
      <c r="X338">
        <v>0</v>
      </c>
      <c r="Y338">
        <v>15</v>
      </c>
      <c r="Z338">
        <v>15</v>
      </c>
      <c r="AA338">
        <v>0</v>
      </c>
      <c r="AB338">
        <v>0</v>
      </c>
      <c r="AC338">
        <v>22</v>
      </c>
      <c r="AD338">
        <v>9</v>
      </c>
      <c r="AG338" t="s">
        <v>258</v>
      </c>
      <c r="AH338" t="s">
        <v>435</v>
      </c>
      <c r="AI338">
        <v>221</v>
      </c>
      <c r="AJ338">
        <v>51</v>
      </c>
      <c r="AK338">
        <v>102</v>
      </c>
      <c r="AL338">
        <v>8</v>
      </c>
      <c r="AM338">
        <v>0</v>
      </c>
      <c r="AN338" t="s">
        <v>49</v>
      </c>
      <c r="AO338">
        <v>0.86458333333333337</v>
      </c>
      <c r="AP338">
        <v>102</v>
      </c>
    </row>
    <row r="339" spans="1:42" x14ac:dyDescent="0.35">
      <c r="A339">
        <v>97121</v>
      </c>
      <c r="B339">
        <v>8619</v>
      </c>
      <c r="C339">
        <v>950150</v>
      </c>
      <c r="D339">
        <v>369</v>
      </c>
      <c r="E339" s="147">
        <v>44207</v>
      </c>
      <c r="F339" t="s">
        <v>574</v>
      </c>
      <c r="G339" t="s">
        <v>137</v>
      </c>
      <c r="H339" s="147">
        <v>44207</v>
      </c>
      <c r="I339">
        <v>7</v>
      </c>
      <c r="J339" t="s">
        <v>195</v>
      </c>
      <c r="L339">
        <v>0</v>
      </c>
      <c r="M339">
        <v>0</v>
      </c>
      <c r="U339">
        <v>1388</v>
      </c>
      <c r="V339">
        <v>1305</v>
      </c>
      <c r="W339">
        <v>0</v>
      </c>
      <c r="X339">
        <v>0</v>
      </c>
      <c r="Y339">
        <v>118</v>
      </c>
      <c r="Z339">
        <v>76</v>
      </c>
      <c r="AA339">
        <v>0</v>
      </c>
      <c r="AB339">
        <v>0</v>
      </c>
      <c r="AC339">
        <v>48</v>
      </c>
      <c r="AD339">
        <v>21</v>
      </c>
      <c r="AG339" t="s">
        <v>258</v>
      </c>
      <c r="AH339" t="s">
        <v>435</v>
      </c>
      <c r="AI339">
        <v>664</v>
      </c>
      <c r="AJ339">
        <v>252</v>
      </c>
      <c r="AK339">
        <v>116</v>
      </c>
      <c r="AL339">
        <v>3</v>
      </c>
      <c r="AM339">
        <v>0</v>
      </c>
      <c r="AN339" t="s">
        <v>49</v>
      </c>
      <c r="AO339">
        <v>0.94020172910662825</v>
      </c>
      <c r="AP339">
        <v>401</v>
      </c>
    </row>
    <row r="340" spans="1:42" x14ac:dyDescent="0.35">
      <c r="A340">
        <v>97122</v>
      </c>
      <c r="B340">
        <v>8619</v>
      </c>
      <c r="C340">
        <v>950151</v>
      </c>
      <c r="D340">
        <v>458</v>
      </c>
      <c r="E340" s="147">
        <v>44207</v>
      </c>
      <c r="F340" t="s">
        <v>539</v>
      </c>
      <c r="G340" t="s">
        <v>140</v>
      </c>
      <c r="H340" s="147">
        <v>44207</v>
      </c>
      <c r="I340">
        <v>7</v>
      </c>
      <c r="J340" t="s">
        <v>195</v>
      </c>
      <c r="L340">
        <v>0</v>
      </c>
      <c r="M340">
        <v>0</v>
      </c>
      <c r="U340">
        <v>799</v>
      </c>
      <c r="V340">
        <v>652</v>
      </c>
      <c r="W340">
        <v>0</v>
      </c>
      <c r="X340">
        <v>0</v>
      </c>
      <c r="Y340">
        <v>67</v>
      </c>
      <c r="Z340">
        <v>55</v>
      </c>
      <c r="AA340">
        <v>0</v>
      </c>
      <c r="AB340">
        <v>0</v>
      </c>
      <c r="AC340">
        <v>15</v>
      </c>
      <c r="AD340">
        <v>6</v>
      </c>
      <c r="AG340" t="s">
        <v>258</v>
      </c>
      <c r="AH340" t="s">
        <v>435</v>
      </c>
      <c r="AI340">
        <v>353</v>
      </c>
      <c r="AJ340">
        <v>136</v>
      </c>
      <c r="AK340">
        <v>80</v>
      </c>
      <c r="AL340">
        <v>1</v>
      </c>
      <c r="AM340">
        <v>0</v>
      </c>
      <c r="AN340" t="s">
        <v>49</v>
      </c>
      <c r="AO340">
        <v>0.81602002503128912</v>
      </c>
      <c r="AP340">
        <v>203</v>
      </c>
    </row>
    <row r="341" spans="1:42" x14ac:dyDescent="0.35">
      <c r="A341">
        <v>97126</v>
      </c>
      <c r="B341">
        <v>8619</v>
      </c>
      <c r="C341">
        <v>950155</v>
      </c>
      <c r="D341">
        <v>331</v>
      </c>
      <c r="E341" s="147">
        <v>44207</v>
      </c>
      <c r="F341" t="s">
        <v>575</v>
      </c>
      <c r="G341" t="s">
        <v>173</v>
      </c>
      <c r="H341" s="147">
        <v>44207</v>
      </c>
      <c r="I341">
        <v>7</v>
      </c>
      <c r="J341" t="s">
        <v>195</v>
      </c>
      <c r="L341">
        <v>0</v>
      </c>
      <c r="M341">
        <v>0</v>
      </c>
      <c r="U341">
        <v>774</v>
      </c>
      <c r="V341">
        <v>701</v>
      </c>
      <c r="W341">
        <v>0</v>
      </c>
      <c r="X341">
        <v>0</v>
      </c>
      <c r="Y341">
        <v>26</v>
      </c>
      <c r="Z341">
        <v>17</v>
      </c>
      <c r="AA341">
        <v>0</v>
      </c>
      <c r="AB341">
        <v>0</v>
      </c>
      <c r="AC341">
        <v>2</v>
      </c>
      <c r="AD341">
        <v>2</v>
      </c>
      <c r="AG341" t="s">
        <v>258</v>
      </c>
      <c r="AH341" t="s">
        <v>435</v>
      </c>
      <c r="AI341">
        <v>317</v>
      </c>
      <c r="AJ341">
        <v>79</v>
      </c>
      <c r="AK341">
        <v>128</v>
      </c>
      <c r="AL341">
        <v>7</v>
      </c>
      <c r="AM341">
        <v>0</v>
      </c>
      <c r="AN341" t="s">
        <v>49</v>
      </c>
      <c r="AO341">
        <v>0.90568475452196384</v>
      </c>
      <c r="AP341">
        <v>145</v>
      </c>
    </row>
    <row r="342" spans="1:42" x14ac:dyDescent="0.35">
      <c r="A342">
        <v>97237</v>
      </c>
      <c r="B342">
        <v>8619</v>
      </c>
      <c r="C342">
        <v>950266</v>
      </c>
      <c r="D342">
        <v>418</v>
      </c>
      <c r="E342" s="147">
        <v>44207</v>
      </c>
      <c r="F342" t="s">
        <v>514</v>
      </c>
      <c r="G342" t="s">
        <v>84</v>
      </c>
      <c r="H342" s="147">
        <v>44208</v>
      </c>
      <c r="I342">
        <v>7</v>
      </c>
      <c r="J342" t="s">
        <v>199</v>
      </c>
      <c r="L342">
        <v>0</v>
      </c>
      <c r="M342">
        <v>0</v>
      </c>
      <c r="U342">
        <v>666</v>
      </c>
      <c r="V342">
        <v>582</v>
      </c>
      <c r="W342">
        <v>0</v>
      </c>
      <c r="X342">
        <v>0</v>
      </c>
      <c r="Y342">
        <v>25</v>
      </c>
      <c r="Z342">
        <v>21</v>
      </c>
      <c r="AA342">
        <v>0</v>
      </c>
      <c r="AB342">
        <v>0</v>
      </c>
      <c r="AC342">
        <v>3</v>
      </c>
      <c r="AD342">
        <v>2</v>
      </c>
      <c r="AG342" t="s">
        <v>258</v>
      </c>
      <c r="AH342" t="s">
        <v>435</v>
      </c>
      <c r="AI342">
        <v>243</v>
      </c>
      <c r="AJ342">
        <v>61</v>
      </c>
      <c r="AK342">
        <v>101</v>
      </c>
      <c r="AL342">
        <v>8</v>
      </c>
      <c r="AM342">
        <v>0</v>
      </c>
      <c r="AN342" t="s">
        <v>49</v>
      </c>
      <c r="AO342">
        <v>0.87387387387387383</v>
      </c>
      <c r="AP342">
        <v>121</v>
      </c>
    </row>
    <row r="343" spans="1:42" x14ac:dyDescent="0.35">
      <c r="A343">
        <v>97242</v>
      </c>
      <c r="B343">
        <v>8619</v>
      </c>
      <c r="C343">
        <v>950271</v>
      </c>
      <c r="D343">
        <v>504</v>
      </c>
      <c r="E343" s="147">
        <v>44207</v>
      </c>
      <c r="F343" t="s">
        <v>576</v>
      </c>
      <c r="G343" t="s">
        <v>114</v>
      </c>
      <c r="H343" s="147">
        <v>44208</v>
      </c>
      <c r="I343">
        <v>7</v>
      </c>
      <c r="J343" t="s">
        <v>199</v>
      </c>
      <c r="L343">
        <v>0</v>
      </c>
      <c r="M343">
        <v>0</v>
      </c>
      <c r="U343">
        <v>862</v>
      </c>
      <c r="V343">
        <v>853</v>
      </c>
      <c r="W343">
        <v>0</v>
      </c>
      <c r="X343">
        <v>0</v>
      </c>
      <c r="Y343">
        <v>28</v>
      </c>
      <c r="Z343">
        <v>13</v>
      </c>
      <c r="AA343">
        <v>0</v>
      </c>
      <c r="AB343">
        <v>0</v>
      </c>
      <c r="AC343">
        <v>7</v>
      </c>
      <c r="AD343">
        <v>6</v>
      </c>
      <c r="AG343" t="s">
        <v>258</v>
      </c>
      <c r="AH343" t="s">
        <v>435</v>
      </c>
      <c r="AI343">
        <v>420</v>
      </c>
      <c r="AJ343">
        <v>139</v>
      </c>
      <c r="AK343">
        <v>110</v>
      </c>
      <c r="AL343">
        <v>10</v>
      </c>
      <c r="AM343">
        <v>0</v>
      </c>
      <c r="AN343" t="s">
        <v>49</v>
      </c>
      <c r="AO343">
        <v>0.98955916473317862</v>
      </c>
      <c r="AP343">
        <v>227</v>
      </c>
    </row>
    <row r="344" spans="1:42" x14ac:dyDescent="0.35">
      <c r="A344">
        <v>97245</v>
      </c>
      <c r="B344">
        <v>8619</v>
      </c>
      <c r="C344">
        <v>950274</v>
      </c>
      <c r="D344">
        <v>382</v>
      </c>
      <c r="E344" s="147">
        <v>44207</v>
      </c>
      <c r="F344" t="s">
        <v>573</v>
      </c>
      <c r="G344" t="s">
        <v>123</v>
      </c>
      <c r="H344" s="147">
        <v>44208</v>
      </c>
      <c r="I344">
        <v>7</v>
      </c>
      <c r="J344" t="s">
        <v>199</v>
      </c>
      <c r="L344">
        <v>0</v>
      </c>
      <c r="M344">
        <v>0</v>
      </c>
      <c r="U344">
        <v>600</v>
      </c>
      <c r="V344">
        <v>526</v>
      </c>
      <c r="W344">
        <v>0</v>
      </c>
      <c r="X344">
        <v>0</v>
      </c>
      <c r="Y344">
        <v>16</v>
      </c>
      <c r="Z344">
        <v>15</v>
      </c>
      <c r="AA344">
        <v>0</v>
      </c>
      <c r="AB344">
        <v>0</v>
      </c>
      <c r="AC344">
        <v>22</v>
      </c>
      <c r="AD344">
        <v>10</v>
      </c>
      <c r="AG344" t="s">
        <v>258</v>
      </c>
      <c r="AH344" t="s">
        <v>435</v>
      </c>
      <c r="AI344">
        <v>212</v>
      </c>
      <c r="AJ344">
        <v>56</v>
      </c>
      <c r="AK344">
        <v>86</v>
      </c>
      <c r="AL344">
        <v>2</v>
      </c>
      <c r="AM344">
        <v>0</v>
      </c>
      <c r="AN344" t="s">
        <v>49</v>
      </c>
      <c r="AO344">
        <v>0.87666666666666671</v>
      </c>
      <c r="AP344">
        <v>103</v>
      </c>
    </row>
    <row r="345" spans="1:42" x14ac:dyDescent="0.35">
      <c r="A345">
        <v>97246</v>
      </c>
      <c r="B345">
        <v>8619</v>
      </c>
      <c r="C345">
        <v>950275</v>
      </c>
      <c r="D345">
        <v>452</v>
      </c>
      <c r="E345" s="147">
        <v>44207</v>
      </c>
      <c r="F345" t="s">
        <v>577</v>
      </c>
      <c r="G345" t="s">
        <v>124</v>
      </c>
      <c r="H345" s="147">
        <v>44208</v>
      </c>
      <c r="I345">
        <v>7</v>
      </c>
      <c r="J345" t="s">
        <v>199</v>
      </c>
      <c r="L345">
        <v>0</v>
      </c>
      <c r="M345">
        <v>0</v>
      </c>
      <c r="U345">
        <v>837</v>
      </c>
      <c r="V345">
        <v>714</v>
      </c>
      <c r="W345">
        <v>0</v>
      </c>
      <c r="X345">
        <v>0</v>
      </c>
      <c r="Y345">
        <v>15</v>
      </c>
      <c r="Z345">
        <v>15</v>
      </c>
      <c r="AA345">
        <v>0</v>
      </c>
      <c r="AB345">
        <v>0</v>
      </c>
      <c r="AC345">
        <v>12</v>
      </c>
      <c r="AD345">
        <v>5</v>
      </c>
      <c r="AG345" t="s">
        <v>258</v>
      </c>
      <c r="AH345" t="s">
        <v>435</v>
      </c>
      <c r="AI345">
        <v>314</v>
      </c>
      <c r="AJ345">
        <v>98</v>
      </c>
      <c r="AK345">
        <v>91</v>
      </c>
      <c r="AL345">
        <v>2</v>
      </c>
      <c r="AM345">
        <v>0</v>
      </c>
      <c r="AN345" t="s">
        <v>49</v>
      </c>
      <c r="AO345">
        <v>0.8530465949820788</v>
      </c>
      <c r="AP345">
        <v>169</v>
      </c>
    </row>
    <row r="346" spans="1:42" x14ac:dyDescent="0.35">
      <c r="A346">
        <v>97248</v>
      </c>
      <c r="B346">
        <v>8619</v>
      </c>
      <c r="C346">
        <v>950277</v>
      </c>
      <c r="D346">
        <v>369</v>
      </c>
      <c r="E346" s="147">
        <v>44207</v>
      </c>
      <c r="F346" t="s">
        <v>574</v>
      </c>
      <c r="G346" t="s">
        <v>137</v>
      </c>
      <c r="H346" s="147">
        <v>44208</v>
      </c>
      <c r="I346">
        <v>7</v>
      </c>
      <c r="J346" t="s">
        <v>199</v>
      </c>
      <c r="L346">
        <v>0</v>
      </c>
      <c r="M346">
        <v>0</v>
      </c>
      <c r="U346">
        <v>1377</v>
      </c>
      <c r="V346">
        <v>1304</v>
      </c>
      <c r="W346">
        <v>0</v>
      </c>
      <c r="X346">
        <v>0</v>
      </c>
      <c r="Y346">
        <v>118</v>
      </c>
      <c r="Z346">
        <v>79</v>
      </c>
      <c r="AA346">
        <v>0</v>
      </c>
      <c r="AB346">
        <v>0</v>
      </c>
      <c r="AC346">
        <v>48</v>
      </c>
      <c r="AD346">
        <v>21</v>
      </c>
      <c r="AG346" t="s">
        <v>258</v>
      </c>
      <c r="AH346" t="s">
        <v>435</v>
      </c>
      <c r="AI346">
        <v>667</v>
      </c>
      <c r="AJ346">
        <v>255</v>
      </c>
      <c r="AK346">
        <v>115</v>
      </c>
      <c r="AL346">
        <v>2</v>
      </c>
      <c r="AM346">
        <v>0</v>
      </c>
      <c r="AN346" t="s">
        <v>49</v>
      </c>
      <c r="AO346">
        <v>0.94698620188816263</v>
      </c>
      <c r="AP346">
        <v>402</v>
      </c>
    </row>
    <row r="347" spans="1:42" x14ac:dyDescent="0.35">
      <c r="A347">
        <v>97249</v>
      </c>
      <c r="B347">
        <v>8619</v>
      </c>
      <c r="C347">
        <v>950278</v>
      </c>
      <c r="D347">
        <v>458</v>
      </c>
      <c r="E347" s="147">
        <v>44207</v>
      </c>
      <c r="F347" t="s">
        <v>539</v>
      </c>
      <c r="G347" t="s">
        <v>140</v>
      </c>
      <c r="H347" s="147">
        <v>44208</v>
      </c>
      <c r="I347">
        <v>7</v>
      </c>
      <c r="J347" t="s">
        <v>199</v>
      </c>
      <c r="L347">
        <v>0</v>
      </c>
      <c r="M347">
        <v>0</v>
      </c>
      <c r="U347">
        <v>790</v>
      </c>
      <c r="V347">
        <v>660</v>
      </c>
      <c r="W347">
        <v>0</v>
      </c>
      <c r="X347">
        <v>0</v>
      </c>
      <c r="Y347">
        <v>70</v>
      </c>
      <c r="Z347">
        <v>55</v>
      </c>
      <c r="AA347">
        <v>0</v>
      </c>
      <c r="AB347">
        <v>0</v>
      </c>
      <c r="AC347">
        <v>15</v>
      </c>
      <c r="AD347">
        <v>6</v>
      </c>
      <c r="AG347" t="s">
        <v>258</v>
      </c>
      <c r="AH347" t="s">
        <v>435</v>
      </c>
      <c r="AI347">
        <v>353</v>
      </c>
      <c r="AJ347">
        <v>132</v>
      </c>
      <c r="AK347">
        <v>68</v>
      </c>
      <c r="AL347">
        <v>3</v>
      </c>
      <c r="AM347">
        <v>0</v>
      </c>
      <c r="AN347" t="s">
        <v>49</v>
      </c>
      <c r="AO347">
        <v>0.83544303797468356</v>
      </c>
      <c r="AP347">
        <v>201</v>
      </c>
    </row>
    <row r="348" spans="1:42" x14ac:dyDescent="0.35">
      <c r="A348">
        <v>97360</v>
      </c>
      <c r="B348">
        <v>8619</v>
      </c>
      <c r="C348">
        <v>950389</v>
      </c>
      <c r="D348">
        <v>354</v>
      </c>
      <c r="E348" s="147">
        <v>44207</v>
      </c>
      <c r="F348" t="s">
        <v>527</v>
      </c>
      <c r="G348" t="s">
        <v>68</v>
      </c>
      <c r="H348" s="147">
        <v>44209</v>
      </c>
      <c r="I348">
        <v>7</v>
      </c>
      <c r="J348" t="s">
        <v>200</v>
      </c>
      <c r="L348">
        <v>0</v>
      </c>
      <c r="M348">
        <v>0</v>
      </c>
      <c r="U348">
        <v>381</v>
      </c>
      <c r="V348">
        <v>346</v>
      </c>
      <c r="W348">
        <v>0</v>
      </c>
      <c r="X348">
        <v>0</v>
      </c>
      <c r="Y348">
        <v>23</v>
      </c>
      <c r="Z348">
        <v>19</v>
      </c>
      <c r="AA348">
        <v>0</v>
      </c>
      <c r="AB348">
        <v>0</v>
      </c>
      <c r="AC348">
        <v>2</v>
      </c>
      <c r="AD348">
        <v>1</v>
      </c>
      <c r="AG348" t="s">
        <v>258</v>
      </c>
      <c r="AH348" t="s">
        <v>435</v>
      </c>
      <c r="AI348">
        <v>117</v>
      </c>
      <c r="AJ348">
        <v>19</v>
      </c>
      <c r="AK348">
        <v>58</v>
      </c>
      <c r="AL348">
        <v>9</v>
      </c>
      <c r="AM348">
        <v>0</v>
      </c>
      <c r="AN348" t="s">
        <v>49</v>
      </c>
      <c r="AO348">
        <v>0.90813648293963256</v>
      </c>
      <c r="AP348">
        <v>47</v>
      </c>
    </row>
    <row r="349" spans="1:42" x14ac:dyDescent="0.35">
      <c r="A349">
        <v>97362</v>
      </c>
      <c r="B349">
        <v>8619</v>
      </c>
      <c r="C349">
        <v>950391</v>
      </c>
      <c r="D349">
        <v>491</v>
      </c>
      <c r="E349" s="147">
        <v>44207</v>
      </c>
      <c r="F349" t="s">
        <v>531</v>
      </c>
      <c r="G349" t="s">
        <v>76</v>
      </c>
      <c r="H349" s="147">
        <v>44209</v>
      </c>
      <c r="I349">
        <v>7</v>
      </c>
      <c r="J349" t="s">
        <v>200</v>
      </c>
      <c r="L349">
        <v>0</v>
      </c>
      <c r="M349">
        <v>0</v>
      </c>
      <c r="U349">
        <v>562</v>
      </c>
      <c r="V349">
        <v>485</v>
      </c>
      <c r="W349">
        <v>0</v>
      </c>
      <c r="X349">
        <v>0</v>
      </c>
      <c r="Y349">
        <v>14</v>
      </c>
      <c r="Z349">
        <v>14</v>
      </c>
      <c r="AA349">
        <v>0</v>
      </c>
      <c r="AB349">
        <v>0</v>
      </c>
      <c r="AC349">
        <v>6</v>
      </c>
      <c r="AD349">
        <v>3</v>
      </c>
      <c r="AG349" t="s">
        <v>258</v>
      </c>
      <c r="AH349" t="s">
        <v>435</v>
      </c>
      <c r="AI349">
        <v>193</v>
      </c>
      <c r="AJ349">
        <v>39</v>
      </c>
      <c r="AK349">
        <v>59</v>
      </c>
      <c r="AL349">
        <v>1</v>
      </c>
      <c r="AM349">
        <v>0</v>
      </c>
      <c r="AN349" t="s">
        <v>49</v>
      </c>
      <c r="AO349">
        <v>0.86298932384341642</v>
      </c>
      <c r="AP349">
        <v>93</v>
      </c>
    </row>
    <row r="350" spans="1:42" x14ac:dyDescent="0.35">
      <c r="A350">
        <v>97367</v>
      </c>
      <c r="B350">
        <v>8619</v>
      </c>
      <c r="C350">
        <v>950396</v>
      </c>
      <c r="D350">
        <v>477</v>
      </c>
      <c r="E350" s="147">
        <v>44207</v>
      </c>
      <c r="F350" t="s">
        <v>578</v>
      </c>
      <c r="G350" t="s">
        <v>260</v>
      </c>
      <c r="H350" s="147">
        <v>44209</v>
      </c>
      <c r="I350">
        <v>7</v>
      </c>
      <c r="J350" t="s">
        <v>200</v>
      </c>
      <c r="L350">
        <v>0</v>
      </c>
      <c r="M350">
        <v>0</v>
      </c>
      <c r="U350">
        <v>876</v>
      </c>
      <c r="V350">
        <v>785</v>
      </c>
      <c r="W350">
        <v>0</v>
      </c>
      <c r="X350">
        <v>0</v>
      </c>
      <c r="Y350">
        <v>73</v>
      </c>
      <c r="Z350">
        <v>51</v>
      </c>
      <c r="AA350">
        <v>0</v>
      </c>
      <c r="AB350">
        <v>0</v>
      </c>
      <c r="AC350">
        <v>5</v>
      </c>
      <c r="AD350">
        <v>4</v>
      </c>
      <c r="AG350" t="s">
        <v>258</v>
      </c>
      <c r="AH350" t="s">
        <v>435</v>
      </c>
      <c r="AI350">
        <v>343</v>
      </c>
      <c r="AJ350">
        <v>99</v>
      </c>
      <c r="AK350">
        <v>125</v>
      </c>
      <c r="AL350">
        <v>13</v>
      </c>
      <c r="AM350">
        <v>0</v>
      </c>
      <c r="AN350" t="s">
        <v>49</v>
      </c>
      <c r="AO350">
        <v>0.89611872146118721</v>
      </c>
      <c r="AP350">
        <v>161</v>
      </c>
    </row>
    <row r="351" spans="1:42" x14ac:dyDescent="0.35">
      <c r="A351">
        <v>97369</v>
      </c>
      <c r="B351">
        <v>8619</v>
      </c>
      <c r="C351">
        <v>950398</v>
      </c>
      <c r="D351">
        <v>504</v>
      </c>
      <c r="E351" s="147">
        <v>44207</v>
      </c>
      <c r="F351" t="s">
        <v>576</v>
      </c>
      <c r="G351" t="s">
        <v>114</v>
      </c>
      <c r="H351" s="147">
        <v>44209</v>
      </c>
      <c r="I351">
        <v>7</v>
      </c>
      <c r="J351" t="s">
        <v>200</v>
      </c>
      <c r="L351">
        <v>0</v>
      </c>
      <c r="M351">
        <v>0</v>
      </c>
      <c r="U351">
        <v>869</v>
      </c>
      <c r="V351">
        <v>848</v>
      </c>
      <c r="W351">
        <v>0</v>
      </c>
      <c r="X351">
        <v>0</v>
      </c>
      <c r="Y351">
        <v>28</v>
      </c>
      <c r="Z351">
        <v>15</v>
      </c>
      <c r="AA351">
        <v>0</v>
      </c>
      <c r="AB351">
        <v>0</v>
      </c>
      <c r="AC351">
        <v>7</v>
      </c>
      <c r="AD351">
        <v>5</v>
      </c>
      <c r="AG351" t="s">
        <v>258</v>
      </c>
      <c r="AH351" t="s">
        <v>435</v>
      </c>
      <c r="AI351">
        <v>400</v>
      </c>
      <c r="AJ351">
        <v>123</v>
      </c>
      <c r="AK351">
        <v>97</v>
      </c>
      <c r="AL351">
        <v>2</v>
      </c>
      <c r="AM351">
        <v>0</v>
      </c>
      <c r="AN351" t="s">
        <v>49</v>
      </c>
      <c r="AO351">
        <v>0.97583429228998853</v>
      </c>
      <c r="AP351">
        <v>212</v>
      </c>
    </row>
    <row r="352" spans="1:42" x14ac:dyDescent="0.35">
      <c r="A352">
        <v>97372</v>
      </c>
      <c r="B352">
        <v>8619</v>
      </c>
      <c r="C352">
        <v>950401</v>
      </c>
      <c r="D352">
        <v>382</v>
      </c>
      <c r="E352" s="147">
        <v>44207</v>
      </c>
      <c r="F352" t="s">
        <v>573</v>
      </c>
      <c r="G352" t="s">
        <v>123</v>
      </c>
      <c r="H352" s="147">
        <v>44209</v>
      </c>
      <c r="I352">
        <v>7</v>
      </c>
      <c r="J352" t="s">
        <v>200</v>
      </c>
      <c r="L352">
        <v>0</v>
      </c>
      <c r="M352">
        <v>0</v>
      </c>
      <c r="U352">
        <v>595</v>
      </c>
      <c r="V352">
        <v>536</v>
      </c>
      <c r="W352">
        <v>0</v>
      </c>
      <c r="X352">
        <v>0</v>
      </c>
      <c r="Y352">
        <v>15</v>
      </c>
      <c r="Z352">
        <v>12</v>
      </c>
      <c r="AA352">
        <v>0</v>
      </c>
      <c r="AB352">
        <v>0</v>
      </c>
      <c r="AC352">
        <v>22</v>
      </c>
      <c r="AD352">
        <v>10</v>
      </c>
      <c r="AG352" t="s">
        <v>258</v>
      </c>
      <c r="AH352" t="s">
        <v>435</v>
      </c>
      <c r="AI352">
        <v>223</v>
      </c>
      <c r="AJ352">
        <v>53</v>
      </c>
      <c r="AK352">
        <v>86</v>
      </c>
      <c r="AL352">
        <v>3</v>
      </c>
      <c r="AM352">
        <v>0</v>
      </c>
      <c r="AN352" t="s">
        <v>49</v>
      </c>
      <c r="AO352">
        <v>0.9008403361344538</v>
      </c>
      <c r="AP352">
        <v>102</v>
      </c>
    </row>
    <row r="353" spans="1:42" x14ac:dyDescent="0.35">
      <c r="A353">
        <v>97373</v>
      </c>
      <c r="B353">
        <v>8619</v>
      </c>
      <c r="C353">
        <v>950402</v>
      </c>
      <c r="D353">
        <v>452</v>
      </c>
      <c r="E353" s="147">
        <v>44207</v>
      </c>
      <c r="F353" t="s">
        <v>577</v>
      </c>
      <c r="G353" t="s">
        <v>124</v>
      </c>
      <c r="H353" s="147">
        <v>44209</v>
      </c>
      <c r="I353">
        <v>7</v>
      </c>
      <c r="J353" t="s">
        <v>200</v>
      </c>
      <c r="L353">
        <v>0</v>
      </c>
      <c r="M353">
        <v>0</v>
      </c>
      <c r="U353">
        <v>827</v>
      </c>
      <c r="V353">
        <v>702</v>
      </c>
      <c r="W353">
        <v>0</v>
      </c>
      <c r="X353">
        <v>0</v>
      </c>
      <c r="Y353">
        <v>15</v>
      </c>
      <c r="Z353">
        <v>13</v>
      </c>
      <c r="AA353">
        <v>0</v>
      </c>
      <c r="AB353">
        <v>0</v>
      </c>
      <c r="AC353">
        <v>12</v>
      </c>
      <c r="AD353">
        <v>4</v>
      </c>
      <c r="AG353" t="s">
        <v>258</v>
      </c>
      <c r="AH353" t="s">
        <v>435</v>
      </c>
      <c r="AI353">
        <v>317</v>
      </c>
      <c r="AJ353">
        <v>95</v>
      </c>
      <c r="AK353">
        <v>95</v>
      </c>
      <c r="AL353">
        <v>1</v>
      </c>
      <c r="AM353">
        <v>0</v>
      </c>
      <c r="AN353" t="s">
        <v>49</v>
      </c>
      <c r="AO353">
        <v>0.84885126964933499</v>
      </c>
      <c r="AP353">
        <v>166</v>
      </c>
    </row>
    <row r="354" spans="1:42" x14ac:dyDescent="0.35">
      <c r="A354">
        <v>97375</v>
      </c>
      <c r="B354">
        <v>8619</v>
      </c>
      <c r="C354">
        <v>950404</v>
      </c>
      <c r="D354">
        <v>369</v>
      </c>
      <c r="E354" s="147">
        <v>44207</v>
      </c>
      <c r="F354" t="s">
        <v>574</v>
      </c>
      <c r="G354" t="s">
        <v>137</v>
      </c>
      <c r="H354" s="147">
        <v>44209</v>
      </c>
      <c r="I354">
        <v>7</v>
      </c>
      <c r="J354" t="s">
        <v>200</v>
      </c>
      <c r="L354">
        <v>0</v>
      </c>
      <c r="M354">
        <v>0</v>
      </c>
      <c r="U354">
        <v>1379</v>
      </c>
      <c r="V354">
        <v>1252</v>
      </c>
      <c r="W354">
        <v>0</v>
      </c>
      <c r="X354">
        <v>0</v>
      </c>
      <c r="Y354">
        <v>118</v>
      </c>
      <c r="Z354">
        <v>82</v>
      </c>
      <c r="AA354">
        <v>0</v>
      </c>
      <c r="AB354">
        <v>0</v>
      </c>
      <c r="AC354">
        <v>48</v>
      </c>
      <c r="AD354">
        <v>20</v>
      </c>
      <c r="AG354" t="s">
        <v>258</v>
      </c>
      <c r="AH354" t="s">
        <v>435</v>
      </c>
      <c r="AI354">
        <v>660</v>
      </c>
      <c r="AJ354">
        <v>252</v>
      </c>
      <c r="AK354">
        <v>111</v>
      </c>
      <c r="AL354">
        <v>2</v>
      </c>
      <c r="AM354">
        <v>0</v>
      </c>
      <c r="AN354" t="s">
        <v>49</v>
      </c>
      <c r="AO354">
        <v>0.90790427846265409</v>
      </c>
      <c r="AP354">
        <v>392</v>
      </c>
    </row>
    <row r="355" spans="1:42" x14ac:dyDescent="0.35">
      <c r="A355">
        <v>97377</v>
      </c>
      <c r="B355">
        <v>8619</v>
      </c>
      <c r="C355">
        <v>950406</v>
      </c>
      <c r="D355">
        <v>25511</v>
      </c>
      <c r="E355" s="147">
        <v>44207</v>
      </c>
      <c r="F355" t="s">
        <v>579</v>
      </c>
      <c r="G355" t="s">
        <v>290</v>
      </c>
      <c r="H355" s="147">
        <v>44209</v>
      </c>
      <c r="I355">
        <v>7</v>
      </c>
      <c r="J355" t="s">
        <v>200</v>
      </c>
      <c r="L355">
        <v>0</v>
      </c>
      <c r="M355">
        <v>0</v>
      </c>
      <c r="U355">
        <v>1028</v>
      </c>
      <c r="V355">
        <v>830</v>
      </c>
      <c r="W355">
        <v>0</v>
      </c>
      <c r="X355">
        <v>0</v>
      </c>
      <c r="Y355">
        <v>29</v>
      </c>
      <c r="Z355">
        <v>29</v>
      </c>
      <c r="AA355">
        <v>0</v>
      </c>
      <c r="AB355">
        <v>0</v>
      </c>
      <c r="AC355">
        <v>7</v>
      </c>
      <c r="AD355">
        <v>7</v>
      </c>
      <c r="AG355" t="s">
        <v>258</v>
      </c>
      <c r="AH355" t="s">
        <v>435</v>
      </c>
      <c r="AI355">
        <v>357</v>
      </c>
      <c r="AJ355">
        <v>117</v>
      </c>
      <c r="AK355">
        <v>142</v>
      </c>
      <c r="AL355">
        <v>8</v>
      </c>
      <c r="AM355">
        <v>0</v>
      </c>
      <c r="AN355" t="s">
        <v>49</v>
      </c>
      <c r="AO355">
        <v>0.80739299610894943</v>
      </c>
      <c r="AP355">
        <v>190</v>
      </c>
    </row>
    <row r="356" spans="1:42" x14ac:dyDescent="0.35">
      <c r="A356">
        <v>97487</v>
      </c>
      <c r="B356">
        <v>8619</v>
      </c>
      <c r="C356">
        <v>950516</v>
      </c>
      <c r="D356">
        <v>354</v>
      </c>
      <c r="E356" s="147">
        <v>44207</v>
      </c>
      <c r="F356" t="s">
        <v>527</v>
      </c>
      <c r="G356" t="s">
        <v>68</v>
      </c>
      <c r="H356" s="147">
        <v>44210</v>
      </c>
      <c r="I356">
        <v>7</v>
      </c>
      <c r="J356" t="s">
        <v>198</v>
      </c>
      <c r="L356">
        <v>0</v>
      </c>
      <c r="M356">
        <v>0</v>
      </c>
      <c r="U356">
        <v>378</v>
      </c>
      <c r="V356">
        <v>324</v>
      </c>
      <c r="W356">
        <v>0</v>
      </c>
      <c r="X356">
        <v>0</v>
      </c>
      <c r="Y356">
        <v>23</v>
      </c>
      <c r="Z356">
        <v>20</v>
      </c>
      <c r="AA356">
        <v>0</v>
      </c>
      <c r="AB356">
        <v>0</v>
      </c>
      <c r="AC356">
        <v>2</v>
      </c>
      <c r="AD356">
        <v>1</v>
      </c>
      <c r="AG356" t="s">
        <v>258</v>
      </c>
      <c r="AH356" t="s">
        <v>435</v>
      </c>
      <c r="AI356">
        <v>112</v>
      </c>
      <c r="AJ356">
        <v>20</v>
      </c>
      <c r="AK356">
        <v>62</v>
      </c>
      <c r="AL356">
        <v>9</v>
      </c>
      <c r="AM356">
        <v>0</v>
      </c>
      <c r="AN356" t="s">
        <v>49</v>
      </c>
      <c r="AO356">
        <v>0.8571428571428571</v>
      </c>
      <c r="AP356">
        <v>47</v>
      </c>
    </row>
    <row r="357" spans="1:42" x14ac:dyDescent="0.35">
      <c r="A357">
        <v>97491</v>
      </c>
      <c r="B357">
        <v>8619</v>
      </c>
      <c r="C357">
        <v>950520</v>
      </c>
      <c r="D357">
        <v>418</v>
      </c>
      <c r="E357" s="147">
        <v>44207</v>
      </c>
      <c r="F357" t="s">
        <v>514</v>
      </c>
      <c r="G357" t="s">
        <v>84</v>
      </c>
      <c r="H357" s="147">
        <v>44210</v>
      </c>
      <c r="I357">
        <v>7</v>
      </c>
      <c r="J357" t="s">
        <v>198</v>
      </c>
      <c r="L357">
        <v>0</v>
      </c>
      <c r="M357">
        <v>0</v>
      </c>
      <c r="U357">
        <v>666</v>
      </c>
      <c r="V357">
        <v>582</v>
      </c>
      <c r="W357">
        <v>0</v>
      </c>
      <c r="X357">
        <v>0</v>
      </c>
      <c r="Y357">
        <v>25</v>
      </c>
      <c r="Z357">
        <v>21</v>
      </c>
      <c r="AA357">
        <v>0</v>
      </c>
      <c r="AB357">
        <v>0</v>
      </c>
      <c r="AC357">
        <v>2</v>
      </c>
      <c r="AD357">
        <v>2</v>
      </c>
      <c r="AG357" t="s">
        <v>258</v>
      </c>
      <c r="AH357" t="s">
        <v>435</v>
      </c>
      <c r="AI357">
        <v>238</v>
      </c>
      <c r="AJ357">
        <v>63</v>
      </c>
      <c r="AK357">
        <v>103</v>
      </c>
      <c r="AL357">
        <v>9</v>
      </c>
      <c r="AM357">
        <v>0</v>
      </c>
      <c r="AN357" t="s">
        <v>49</v>
      </c>
      <c r="AO357">
        <v>0.87387387387387383</v>
      </c>
      <c r="AP357">
        <v>114</v>
      </c>
    </row>
    <row r="358" spans="1:42" x14ac:dyDescent="0.35">
      <c r="A358">
        <v>97494</v>
      </c>
      <c r="B358">
        <v>8619</v>
      </c>
      <c r="C358">
        <v>950523</v>
      </c>
      <c r="D358">
        <v>477</v>
      </c>
      <c r="E358" s="147">
        <v>44207</v>
      </c>
      <c r="F358" t="s">
        <v>578</v>
      </c>
      <c r="G358" t="s">
        <v>260</v>
      </c>
      <c r="H358" s="147">
        <v>44210</v>
      </c>
      <c r="I358">
        <v>7</v>
      </c>
      <c r="J358" t="s">
        <v>198</v>
      </c>
      <c r="L358">
        <v>0</v>
      </c>
      <c r="M358">
        <v>0</v>
      </c>
      <c r="U358">
        <v>871</v>
      </c>
      <c r="V358">
        <v>757</v>
      </c>
      <c r="W358">
        <v>0</v>
      </c>
      <c r="X358">
        <v>0</v>
      </c>
      <c r="Y358">
        <v>73</v>
      </c>
      <c r="Z358">
        <v>52</v>
      </c>
      <c r="AA358">
        <v>0</v>
      </c>
      <c r="AB358">
        <v>0</v>
      </c>
      <c r="AC358">
        <v>5</v>
      </c>
      <c r="AD358">
        <v>4</v>
      </c>
      <c r="AG358" t="s">
        <v>258</v>
      </c>
      <c r="AH358" t="s">
        <v>435</v>
      </c>
      <c r="AI358">
        <v>341</v>
      </c>
      <c r="AJ358">
        <v>104</v>
      </c>
      <c r="AK358">
        <v>118</v>
      </c>
      <c r="AL358">
        <v>8</v>
      </c>
      <c r="AM358">
        <v>0</v>
      </c>
      <c r="AN358" t="s">
        <v>49</v>
      </c>
      <c r="AO358">
        <v>0.86911595866819746</v>
      </c>
      <c r="AP358">
        <v>159</v>
      </c>
    </row>
    <row r="359" spans="1:42" x14ac:dyDescent="0.35">
      <c r="A359">
        <v>97496</v>
      </c>
      <c r="B359">
        <v>8619</v>
      </c>
      <c r="C359">
        <v>950525</v>
      </c>
      <c r="D359">
        <v>504</v>
      </c>
      <c r="E359" s="147">
        <v>44207</v>
      </c>
      <c r="F359" t="s">
        <v>576</v>
      </c>
      <c r="G359" t="s">
        <v>114</v>
      </c>
      <c r="H359" s="147">
        <v>44210</v>
      </c>
      <c r="I359">
        <v>7</v>
      </c>
      <c r="J359" t="s">
        <v>198</v>
      </c>
      <c r="L359">
        <v>0</v>
      </c>
      <c r="M359">
        <v>0</v>
      </c>
      <c r="U359">
        <v>858</v>
      </c>
      <c r="V359">
        <v>834</v>
      </c>
      <c r="W359">
        <v>0</v>
      </c>
      <c r="X359">
        <v>0</v>
      </c>
      <c r="Y359">
        <v>28</v>
      </c>
      <c r="Z359">
        <v>15</v>
      </c>
      <c r="AA359">
        <v>0</v>
      </c>
      <c r="AB359">
        <v>0</v>
      </c>
      <c r="AC359">
        <v>7</v>
      </c>
      <c r="AD359">
        <v>4</v>
      </c>
      <c r="AG359" t="s">
        <v>258</v>
      </c>
      <c r="AH359" t="s">
        <v>435</v>
      </c>
      <c r="AI359">
        <v>405</v>
      </c>
      <c r="AJ359">
        <v>125</v>
      </c>
      <c r="AK359">
        <v>106</v>
      </c>
      <c r="AL359">
        <v>2</v>
      </c>
      <c r="AM359">
        <v>0</v>
      </c>
      <c r="AN359" t="s">
        <v>49</v>
      </c>
      <c r="AO359">
        <v>0.97202797202797198</v>
      </c>
      <c r="AP359">
        <v>208</v>
      </c>
    </row>
    <row r="360" spans="1:42" x14ac:dyDescent="0.35">
      <c r="A360">
        <v>97500</v>
      </c>
      <c r="B360">
        <v>8619</v>
      </c>
      <c r="C360">
        <v>950529</v>
      </c>
      <c r="D360">
        <v>452</v>
      </c>
      <c r="E360" s="147">
        <v>44207</v>
      </c>
      <c r="F360" t="s">
        <v>577</v>
      </c>
      <c r="G360" t="s">
        <v>124</v>
      </c>
      <c r="H360" s="147">
        <v>44210</v>
      </c>
      <c r="I360">
        <v>7</v>
      </c>
      <c r="J360" t="s">
        <v>198</v>
      </c>
      <c r="L360">
        <v>0</v>
      </c>
      <c r="M360">
        <v>0</v>
      </c>
      <c r="U360">
        <v>832</v>
      </c>
      <c r="V360">
        <v>707</v>
      </c>
      <c r="W360">
        <v>0</v>
      </c>
      <c r="X360">
        <v>0</v>
      </c>
      <c r="Y360">
        <v>15</v>
      </c>
      <c r="Z360">
        <v>14</v>
      </c>
      <c r="AA360">
        <v>0</v>
      </c>
      <c r="AB360">
        <v>0</v>
      </c>
      <c r="AC360">
        <v>12</v>
      </c>
      <c r="AD360">
        <v>4</v>
      </c>
      <c r="AG360" t="s">
        <v>258</v>
      </c>
      <c r="AH360" t="s">
        <v>435</v>
      </c>
      <c r="AI360">
        <v>305</v>
      </c>
      <c r="AJ360">
        <v>88</v>
      </c>
      <c r="AK360">
        <v>93</v>
      </c>
      <c r="AL360">
        <v>1</v>
      </c>
      <c r="AM360">
        <v>0</v>
      </c>
      <c r="AN360" t="s">
        <v>49</v>
      </c>
      <c r="AO360">
        <v>0.84975961538461542</v>
      </c>
      <c r="AP360">
        <v>159</v>
      </c>
    </row>
    <row r="361" spans="1:42" x14ac:dyDescent="0.35">
      <c r="A361">
        <v>97502</v>
      </c>
      <c r="B361">
        <v>8619</v>
      </c>
      <c r="C361">
        <v>950531</v>
      </c>
      <c r="D361">
        <v>369</v>
      </c>
      <c r="E361" s="147">
        <v>44207</v>
      </c>
      <c r="F361" t="s">
        <v>574</v>
      </c>
      <c r="G361" t="s">
        <v>137</v>
      </c>
      <c r="H361" s="147">
        <v>44210</v>
      </c>
      <c r="I361">
        <v>7</v>
      </c>
      <c r="J361" t="s">
        <v>198</v>
      </c>
      <c r="L361">
        <v>0</v>
      </c>
      <c r="M361">
        <v>0</v>
      </c>
      <c r="U361">
        <v>1376</v>
      </c>
      <c r="V361">
        <v>1268</v>
      </c>
      <c r="W361">
        <v>0</v>
      </c>
      <c r="X361">
        <v>0</v>
      </c>
      <c r="Y361">
        <v>118</v>
      </c>
      <c r="Z361">
        <v>79</v>
      </c>
      <c r="AA361">
        <v>0</v>
      </c>
      <c r="AB361">
        <v>0</v>
      </c>
      <c r="AC361">
        <v>48</v>
      </c>
      <c r="AD361">
        <v>22</v>
      </c>
      <c r="AG361" t="s">
        <v>258</v>
      </c>
      <c r="AH361" t="s">
        <v>435</v>
      </c>
      <c r="AI361">
        <v>645</v>
      </c>
      <c r="AJ361">
        <v>248</v>
      </c>
      <c r="AK361">
        <v>114</v>
      </c>
      <c r="AL361">
        <v>6</v>
      </c>
      <c r="AM361">
        <v>0</v>
      </c>
      <c r="AN361" t="s">
        <v>49</v>
      </c>
      <c r="AO361">
        <v>0.92151162790697672</v>
      </c>
      <c r="AP361">
        <v>389</v>
      </c>
    </row>
    <row r="362" spans="1:42" x14ac:dyDescent="0.35">
      <c r="A362">
        <v>97503</v>
      </c>
      <c r="B362">
        <v>8619</v>
      </c>
      <c r="C362">
        <v>950532</v>
      </c>
      <c r="D362">
        <v>458</v>
      </c>
      <c r="E362" s="147">
        <v>44207</v>
      </c>
      <c r="F362" t="s">
        <v>539</v>
      </c>
      <c r="G362" t="s">
        <v>140</v>
      </c>
      <c r="H362" s="147">
        <v>44210</v>
      </c>
      <c r="I362">
        <v>7</v>
      </c>
      <c r="J362" t="s">
        <v>198</v>
      </c>
      <c r="L362">
        <v>0</v>
      </c>
      <c r="M362">
        <v>0</v>
      </c>
      <c r="U362">
        <v>797</v>
      </c>
      <c r="V362">
        <v>660</v>
      </c>
      <c r="W362">
        <v>0</v>
      </c>
      <c r="X362">
        <v>0</v>
      </c>
      <c r="Y362">
        <v>71</v>
      </c>
      <c r="Z362">
        <v>60</v>
      </c>
      <c r="AA362">
        <v>0</v>
      </c>
      <c r="AB362">
        <v>0</v>
      </c>
      <c r="AC362">
        <v>15</v>
      </c>
      <c r="AD362">
        <v>5</v>
      </c>
      <c r="AG362" t="s">
        <v>258</v>
      </c>
      <c r="AH362" t="s">
        <v>435</v>
      </c>
      <c r="AI362">
        <v>342</v>
      </c>
      <c r="AJ362">
        <v>123</v>
      </c>
      <c r="AK362">
        <v>58</v>
      </c>
      <c r="AL362">
        <v>3</v>
      </c>
      <c r="AM362">
        <v>0</v>
      </c>
      <c r="AN362" t="s">
        <v>49</v>
      </c>
      <c r="AO362">
        <v>0.82810539523212046</v>
      </c>
      <c r="AP362">
        <v>207</v>
      </c>
    </row>
    <row r="363" spans="1:42" x14ac:dyDescent="0.35">
      <c r="A363">
        <v>97504</v>
      </c>
      <c r="B363">
        <v>8619</v>
      </c>
      <c r="C363">
        <v>950533</v>
      </c>
      <c r="D363">
        <v>25511</v>
      </c>
      <c r="E363" s="147">
        <v>44207</v>
      </c>
      <c r="F363" t="s">
        <v>579</v>
      </c>
      <c r="G363" t="s">
        <v>290</v>
      </c>
      <c r="H363" s="147">
        <v>44210</v>
      </c>
      <c r="I363">
        <v>7</v>
      </c>
      <c r="J363" t="s">
        <v>198</v>
      </c>
      <c r="L363">
        <v>0</v>
      </c>
      <c r="M363">
        <v>0</v>
      </c>
      <c r="U363">
        <v>1014</v>
      </c>
      <c r="V363">
        <v>800</v>
      </c>
      <c r="W363">
        <v>0</v>
      </c>
      <c r="X363">
        <v>0</v>
      </c>
      <c r="Y363">
        <v>33</v>
      </c>
      <c r="Z363">
        <v>28</v>
      </c>
      <c r="AA363">
        <v>0</v>
      </c>
      <c r="AB363">
        <v>0</v>
      </c>
      <c r="AC363">
        <v>7</v>
      </c>
      <c r="AD363">
        <v>6</v>
      </c>
      <c r="AG363" t="s">
        <v>258</v>
      </c>
      <c r="AH363" t="s">
        <v>435</v>
      </c>
      <c r="AI363">
        <v>350</v>
      </c>
      <c r="AJ363">
        <v>116</v>
      </c>
      <c r="AK363">
        <v>123</v>
      </c>
      <c r="AL363">
        <v>10</v>
      </c>
      <c r="AM363">
        <v>0</v>
      </c>
      <c r="AN363" t="s">
        <v>49</v>
      </c>
      <c r="AO363">
        <v>0.78895463510848129</v>
      </c>
      <c r="AP363">
        <v>188</v>
      </c>
    </row>
    <row r="364" spans="1:42" x14ac:dyDescent="0.35">
      <c r="A364">
        <v>97506</v>
      </c>
      <c r="B364">
        <v>8619</v>
      </c>
      <c r="C364">
        <v>950535</v>
      </c>
      <c r="D364">
        <v>355</v>
      </c>
      <c r="E364" s="147">
        <v>44207</v>
      </c>
      <c r="F364" t="s">
        <v>535</v>
      </c>
      <c r="G364" t="s">
        <v>152</v>
      </c>
      <c r="H364" s="147">
        <v>44210</v>
      </c>
      <c r="I364">
        <v>7</v>
      </c>
      <c r="J364" t="s">
        <v>198</v>
      </c>
      <c r="L364">
        <v>0</v>
      </c>
      <c r="M364">
        <v>0</v>
      </c>
      <c r="U364">
        <v>446</v>
      </c>
      <c r="V364">
        <v>400</v>
      </c>
      <c r="W364">
        <v>0</v>
      </c>
      <c r="X364">
        <v>0</v>
      </c>
      <c r="Y364">
        <v>20</v>
      </c>
      <c r="Z364">
        <v>15</v>
      </c>
      <c r="AA364">
        <v>0</v>
      </c>
      <c r="AB364">
        <v>0</v>
      </c>
      <c r="AC364">
        <v>14</v>
      </c>
      <c r="AD364">
        <v>10</v>
      </c>
      <c r="AG364" t="s">
        <v>258</v>
      </c>
      <c r="AH364" t="s">
        <v>435</v>
      </c>
      <c r="AI364">
        <v>188</v>
      </c>
      <c r="AJ364">
        <v>41</v>
      </c>
      <c r="AK364">
        <v>57</v>
      </c>
      <c r="AL364">
        <v>1</v>
      </c>
      <c r="AM364">
        <v>0</v>
      </c>
      <c r="AN364" t="s">
        <v>49</v>
      </c>
      <c r="AO364">
        <v>0.89686098654708524</v>
      </c>
      <c r="AP364">
        <v>97</v>
      </c>
    </row>
    <row r="365" spans="1:42" x14ac:dyDescent="0.35">
      <c r="A365">
        <v>97621</v>
      </c>
      <c r="B365">
        <v>8619</v>
      </c>
      <c r="C365">
        <v>950650</v>
      </c>
      <c r="D365">
        <v>477</v>
      </c>
      <c r="E365" s="147">
        <v>44207</v>
      </c>
      <c r="F365" t="s">
        <v>578</v>
      </c>
      <c r="G365" t="s">
        <v>260</v>
      </c>
      <c r="H365" s="147">
        <v>44211</v>
      </c>
      <c r="I365">
        <v>7</v>
      </c>
      <c r="J365" t="s">
        <v>194</v>
      </c>
      <c r="L365">
        <v>0</v>
      </c>
      <c r="M365">
        <v>0</v>
      </c>
      <c r="U365">
        <v>859</v>
      </c>
      <c r="V365">
        <v>763</v>
      </c>
      <c r="W365">
        <v>0</v>
      </c>
      <c r="X365">
        <v>0</v>
      </c>
      <c r="Y365">
        <v>79</v>
      </c>
      <c r="Z365">
        <v>51</v>
      </c>
      <c r="AA365">
        <v>0</v>
      </c>
      <c r="AB365">
        <v>0</v>
      </c>
      <c r="AC365">
        <v>6</v>
      </c>
      <c r="AD365">
        <v>6</v>
      </c>
      <c r="AG365" t="s">
        <v>258</v>
      </c>
      <c r="AH365" t="s">
        <v>435</v>
      </c>
      <c r="AI365">
        <v>324</v>
      </c>
      <c r="AJ365">
        <v>93</v>
      </c>
      <c r="AK365">
        <v>105</v>
      </c>
      <c r="AL365">
        <v>5</v>
      </c>
      <c r="AM365">
        <v>0</v>
      </c>
      <c r="AN365" t="s">
        <v>49</v>
      </c>
      <c r="AO365">
        <v>0.88824214202561114</v>
      </c>
      <c r="AP365">
        <v>156</v>
      </c>
    </row>
    <row r="366" spans="1:42" x14ac:dyDescent="0.35">
      <c r="A366">
        <v>97623</v>
      </c>
      <c r="B366">
        <v>8619</v>
      </c>
      <c r="C366">
        <v>950652</v>
      </c>
      <c r="D366">
        <v>504</v>
      </c>
      <c r="E366" s="147">
        <v>44207</v>
      </c>
      <c r="F366" t="s">
        <v>576</v>
      </c>
      <c r="G366" t="s">
        <v>114</v>
      </c>
      <c r="H366" s="147">
        <v>44211</v>
      </c>
      <c r="I366">
        <v>7</v>
      </c>
      <c r="J366" t="s">
        <v>194</v>
      </c>
      <c r="L366">
        <v>0</v>
      </c>
      <c r="M366">
        <v>0</v>
      </c>
      <c r="U366">
        <v>857</v>
      </c>
      <c r="V366">
        <v>845</v>
      </c>
      <c r="W366">
        <v>0</v>
      </c>
      <c r="X366">
        <v>0</v>
      </c>
      <c r="Y366">
        <v>28</v>
      </c>
      <c r="Z366">
        <v>14</v>
      </c>
      <c r="AA366">
        <v>0</v>
      </c>
      <c r="AB366">
        <v>0</v>
      </c>
      <c r="AC366">
        <v>7</v>
      </c>
      <c r="AD366">
        <v>5</v>
      </c>
      <c r="AG366" t="s">
        <v>258</v>
      </c>
      <c r="AH366" t="s">
        <v>435</v>
      </c>
      <c r="AI366">
        <v>441</v>
      </c>
      <c r="AJ366">
        <v>129</v>
      </c>
      <c r="AK366">
        <v>117</v>
      </c>
      <c r="AL366">
        <v>17</v>
      </c>
      <c r="AM366">
        <v>0</v>
      </c>
      <c r="AN366" t="s">
        <v>49</v>
      </c>
      <c r="AO366">
        <v>0.9859976662777129</v>
      </c>
      <c r="AP366">
        <v>212</v>
      </c>
    </row>
    <row r="367" spans="1:42" x14ac:dyDescent="0.35">
      <c r="A367">
        <v>97626</v>
      </c>
      <c r="B367">
        <v>8619</v>
      </c>
      <c r="C367">
        <v>950655</v>
      </c>
      <c r="D367">
        <v>382</v>
      </c>
      <c r="E367" s="147">
        <v>44207</v>
      </c>
      <c r="F367" t="s">
        <v>573</v>
      </c>
      <c r="G367" t="s">
        <v>123</v>
      </c>
      <c r="H367" s="147">
        <v>44211</v>
      </c>
      <c r="I367">
        <v>7</v>
      </c>
      <c r="J367" t="s">
        <v>194</v>
      </c>
      <c r="L367">
        <v>0</v>
      </c>
      <c r="M367">
        <v>0</v>
      </c>
      <c r="U367">
        <v>565</v>
      </c>
      <c r="V367">
        <v>483</v>
      </c>
      <c r="W367">
        <v>0</v>
      </c>
      <c r="X367">
        <v>0</v>
      </c>
      <c r="Y367">
        <v>15</v>
      </c>
      <c r="Z367">
        <v>12</v>
      </c>
      <c r="AA367">
        <v>0</v>
      </c>
      <c r="AB367">
        <v>0</v>
      </c>
      <c r="AC367">
        <v>22</v>
      </c>
      <c r="AD367">
        <v>10</v>
      </c>
      <c r="AG367" t="s">
        <v>258</v>
      </c>
      <c r="AH367" t="s">
        <v>435</v>
      </c>
      <c r="AI367">
        <v>207</v>
      </c>
      <c r="AJ367">
        <v>40</v>
      </c>
      <c r="AK367">
        <v>89</v>
      </c>
      <c r="AL367">
        <v>7</v>
      </c>
      <c r="AM367">
        <v>0</v>
      </c>
      <c r="AN367" t="s">
        <v>49</v>
      </c>
      <c r="AO367">
        <v>0.85486725663716812</v>
      </c>
      <c r="AP367">
        <v>83</v>
      </c>
    </row>
    <row r="368" spans="1:42" x14ac:dyDescent="0.35">
      <c r="A368">
        <v>97627</v>
      </c>
      <c r="B368">
        <v>8619</v>
      </c>
      <c r="C368">
        <v>950656</v>
      </c>
      <c r="D368">
        <v>452</v>
      </c>
      <c r="E368" s="147">
        <v>44207</v>
      </c>
      <c r="F368" t="s">
        <v>577</v>
      </c>
      <c r="G368" t="s">
        <v>124</v>
      </c>
      <c r="H368" s="147">
        <v>44211</v>
      </c>
      <c r="I368">
        <v>7</v>
      </c>
      <c r="J368" t="s">
        <v>194</v>
      </c>
      <c r="L368">
        <v>0</v>
      </c>
      <c r="M368">
        <v>0</v>
      </c>
      <c r="U368">
        <v>820</v>
      </c>
      <c r="V368">
        <v>668</v>
      </c>
      <c r="W368">
        <v>0</v>
      </c>
      <c r="X368">
        <v>0</v>
      </c>
      <c r="Y368">
        <v>15</v>
      </c>
      <c r="Z368">
        <v>12</v>
      </c>
      <c r="AA368">
        <v>0</v>
      </c>
      <c r="AB368">
        <v>0</v>
      </c>
      <c r="AC368">
        <v>12</v>
      </c>
      <c r="AD368">
        <v>4</v>
      </c>
      <c r="AG368" t="s">
        <v>258</v>
      </c>
      <c r="AH368" t="s">
        <v>435</v>
      </c>
      <c r="AI368">
        <v>301</v>
      </c>
      <c r="AJ368">
        <v>83</v>
      </c>
      <c r="AK368">
        <v>99</v>
      </c>
      <c r="AL368">
        <v>4</v>
      </c>
      <c r="AM368">
        <v>0</v>
      </c>
      <c r="AN368" t="s">
        <v>49</v>
      </c>
      <c r="AO368">
        <v>0.81463414634146336</v>
      </c>
      <c r="AP368">
        <v>151</v>
      </c>
    </row>
    <row r="369" spans="1:42" x14ac:dyDescent="0.35">
      <c r="A369">
        <v>97631</v>
      </c>
      <c r="B369">
        <v>8619</v>
      </c>
      <c r="C369">
        <v>950660</v>
      </c>
      <c r="D369">
        <v>25511</v>
      </c>
      <c r="E369" s="147">
        <v>44207</v>
      </c>
      <c r="F369" t="s">
        <v>579</v>
      </c>
      <c r="G369" t="s">
        <v>290</v>
      </c>
      <c r="H369" s="147">
        <v>44211</v>
      </c>
      <c r="I369">
        <v>7</v>
      </c>
      <c r="J369" t="s">
        <v>194</v>
      </c>
      <c r="L369">
        <v>0</v>
      </c>
      <c r="M369">
        <v>0</v>
      </c>
      <c r="U369">
        <v>1024</v>
      </c>
      <c r="V369">
        <v>771</v>
      </c>
      <c r="W369">
        <v>0</v>
      </c>
      <c r="X369">
        <v>0</v>
      </c>
      <c r="Y369">
        <v>33</v>
      </c>
      <c r="Z369">
        <v>27</v>
      </c>
      <c r="AA369">
        <v>0</v>
      </c>
      <c r="AB369">
        <v>0</v>
      </c>
      <c r="AC369">
        <v>7</v>
      </c>
      <c r="AD369">
        <v>7</v>
      </c>
      <c r="AG369" t="s">
        <v>258</v>
      </c>
      <c r="AH369" t="s">
        <v>435</v>
      </c>
      <c r="AI369">
        <v>329</v>
      </c>
      <c r="AJ369">
        <v>110</v>
      </c>
      <c r="AK369">
        <v>98</v>
      </c>
      <c r="AL369">
        <v>2</v>
      </c>
      <c r="AM369">
        <v>0</v>
      </c>
      <c r="AN369" t="s">
        <v>49</v>
      </c>
      <c r="AO369">
        <v>0.7529296875</v>
      </c>
      <c r="AP369">
        <v>179</v>
      </c>
    </row>
    <row r="370" spans="1:42" x14ac:dyDescent="0.35">
      <c r="A370">
        <v>97633</v>
      </c>
      <c r="B370">
        <v>8619</v>
      </c>
      <c r="C370">
        <v>950662</v>
      </c>
      <c r="D370">
        <v>355</v>
      </c>
      <c r="E370" s="147">
        <v>44207</v>
      </c>
      <c r="F370" t="s">
        <v>535</v>
      </c>
      <c r="G370" t="s">
        <v>152</v>
      </c>
      <c r="H370" s="147">
        <v>44211</v>
      </c>
      <c r="I370">
        <v>7</v>
      </c>
      <c r="J370" t="s">
        <v>194</v>
      </c>
      <c r="L370">
        <v>0</v>
      </c>
      <c r="M370">
        <v>0</v>
      </c>
      <c r="U370">
        <v>442</v>
      </c>
      <c r="V370">
        <v>385</v>
      </c>
      <c r="W370">
        <v>0</v>
      </c>
      <c r="X370">
        <v>0</v>
      </c>
      <c r="Y370">
        <v>20</v>
      </c>
      <c r="Z370">
        <v>16</v>
      </c>
      <c r="AA370">
        <v>0</v>
      </c>
      <c r="AB370">
        <v>0</v>
      </c>
      <c r="AC370">
        <v>14</v>
      </c>
      <c r="AD370">
        <v>10</v>
      </c>
      <c r="AG370" t="s">
        <v>258</v>
      </c>
      <c r="AH370" t="s">
        <v>435</v>
      </c>
      <c r="AI370">
        <v>193</v>
      </c>
      <c r="AJ370">
        <v>43</v>
      </c>
      <c r="AK370">
        <v>39</v>
      </c>
      <c r="AL370">
        <v>2</v>
      </c>
      <c r="AM370">
        <v>0</v>
      </c>
      <c r="AN370" t="s">
        <v>49</v>
      </c>
      <c r="AO370">
        <v>0.87104072398190047</v>
      </c>
      <c r="AP370">
        <v>98</v>
      </c>
    </row>
    <row r="371" spans="1:42" x14ac:dyDescent="0.35">
      <c r="A371">
        <v>97741</v>
      </c>
      <c r="B371">
        <v>8619</v>
      </c>
      <c r="C371">
        <v>950770</v>
      </c>
      <c r="D371">
        <v>354</v>
      </c>
      <c r="E371" s="147">
        <v>44207</v>
      </c>
      <c r="F371" t="s">
        <v>527</v>
      </c>
      <c r="G371" t="s">
        <v>68</v>
      </c>
      <c r="H371" s="147">
        <v>44212</v>
      </c>
      <c r="I371">
        <v>7</v>
      </c>
      <c r="J371" t="s">
        <v>196</v>
      </c>
      <c r="L371">
        <v>0</v>
      </c>
      <c r="M371">
        <v>0</v>
      </c>
      <c r="U371">
        <v>378</v>
      </c>
      <c r="V371">
        <v>298</v>
      </c>
      <c r="W371">
        <v>0</v>
      </c>
      <c r="X371">
        <v>0</v>
      </c>
      <c r="Y371">
        <v>23</v>
      </c>
      <c r="Z371">
        <v>23</v>
      </c>
      <c r="AA371">
        <v>0</v>
      </c>
      <c r="AB371">
        <v>0</v>
      </c>
      <c r="AC371">
        <v>2</v>
      </c>
      <c r="AD371">
        <v>1</v>
      </c>
      <c r="AG371" t="s">
        <v>258</v>
      </c>
      <c r="AH371" t="s">
        <v>435</v>
      </c>
      <c r="AI371">
        <v>119</v>
      </c>
      <c r="AJ371">
        <v>24</v>
      </c>
      <c r="AK371">
        <v>67</v>
      </c>
      <c r="AL371">
        <v>14</v>
      </c>
      <c r="AM371">
        <v>0</v>
      </c>
      <c r="AN371" t="s">
        <v>49</v>
      </c>
      <c r="AO371">
        <v>0.78835978835978837</v>
      </c>
      <c r="AP371">
        <v>51</v>
      </c>
    </row>
    <row r="372" spans="1:42" x14ac:dyDescent="0.35">
      <c r="A372">
        <v>97742</v>
      </c>
      <c r="B372">
        <v>8619</v>
      </c>
      <c r="C372">
        <v>950771</v>
      </c>
      <c r="D372">
        <v>309</v>
      </c>
      <c r="E372" s="147">
        <v>44207</v>
      </c>
      <c r="F372" t="s">
        <v>547</v>
      </c>
      <c r="G372" t="s">
        <v>73</v>
      </c>
      <c r="H372" s="147">
        <v>44212</v>
      </c>
      <c r="I372">
        <v>7</v>
      </c>
      <c r="J372" t="s">
        <v>196</v>
      </c>
      <c r="L372">
        <v>0</v>
      </c>
      <c r="M372">
        <v>0</v>
      </c>
      <c r="U372">
        <v>552</v>
      </c>
      <c r="V372">
        <v>490</v>
      </c>
      <c r="W372">
        <v>0</v>
      </c>
      <c r="X372">
        <v>0</v>
      </c>
      <c r="Y372">
        <v>21</v>
      </c>
      <c r="Z372">
        <v>20</v>
      </c>
      <c r="AA372">
        <v>0</v>
      </c>
      <c r="AB372">
        <v>0</v>
      </c>
      <c r="AC372">
        <v>8</v>
      </c>
      <c r="AD372">
        <v>6</v>
      </c>
      <c r="AG372" t="s">
        <v>258</v>
      </c>
      <c r="AH372" t="s">
        <v>435</v>
      </c>
      <c r="AI372">
        <v>227</v>
      </c>
      <c r="AJ372">
        <v>57</v>
      </c>
      <c r="AK372">
        <v>93</v>
      </c>
      <c r="AL372">
        <v>2</v>
      </c>
      <c r="AM372">
        <v>0</v>
      </c>
      <c r="AN372" t="s">
        <v>49</v>
      </c>
      <c r="AO372">
        <v>0.8876811594202898</v>
      </c>
      <c r="AP372">
        <v>101</v>
      </c>
    </row>
    <row r="373" spans="1:42" x14ac:dyDescent="0.35">
      <c r="A373">
        <v>97750</v>
      </c>
      <c r="B373">
        <v>8619</v>
      </c>
      <c r="C373">
        <v>950779</v>
      </c>
      <c r="D373">
        <v>504</v>
      </c>
      <c r="E373" s="147">
        <v>44207</v>
      </c>
      <c r="F373" t="s">
        <v>576</v>
      </c>
      <c r="G373" t="s">
        <v>114</v>
      </c>
      <c r="H373" s="147">
        <v>44212</v>
      </c>
      <c r="I373">
        <v>7</v>
      </c>
      <c r="J373" t="s">
        <v>196</v>
      </c>
      <c r="L373">
        <v>0</v>
      </c>
      <c r="M373">
        <v>0</v>
      </c>
      <c r="U373">
        <v>858</v>
      </c>
      <c r="V373">
        <v>795</v>
      </c>
      <c r="W373">
        <v>0</v>
      </c>
      <c r="X373">
        <v>0</v>
      </c>
      <c r="Y373">
        <v>28</v>
      </c>
      <c r="Z373">
        <v>13</v>
      </c>
      <c r="AA373">
        <v>0</v>
      </c>
      <c r="AB373">
        <v>0</v>
      </c>
      <c r="AC373">
        <v>7</v>
      </c>
      <c r="AD373">
        <v>5</v>
      </c>
      <c r="AG373" t="s">
        <v>258</v>
      </c>
      <c r="AH373" t="s">
        <v>435</v>
      </c>
      <c r="AI373">
        <v>414</v>
      </c>
      <c r="AJ373">
        <v>130</v>
      </c>
      <c r="AK373">
        <v>126</v>
      </c>
      <c r="AL373">
        <v>22</v>
      </c>
      <c r="AM373">
        <v>0</v>
      </c>
      <c r="AN373" t="s">
        <v>49</v>
      </c>
      <c r="AO373">
        <v>0.92657342657342656</v>
      </c>
      <c r="AP373">
        <v>206</v>
      </c>
    </row>
    <row r="374" spans="1:42" x14ac:dyDescent="0.35">
      <c r="A374">
        <v>97753</v>
      </c>
      <c r="B374">
        <v>8619</v>
      </c>
      <c r="C374">
        <v>950782</v>
      </c>
      <c r="D374">
        <v>382</v>
      </c>
      <c r="E374" s="147">
        <v>44207</v>
      </c>
      <c r="F374" t="s">
        <v>573</v>
      </c>
      <c r="G374" t="s">
        <v>123</v>
      </c>
      <c r="H374" s="147">
        <v>44212</v>
      </c>
      <c r="I374">
        <v>7</v>
      </c>
      <c r="J374" t="s">
        <v>196</v>
      </c>
      <c r="L374">
        <v>0</v>
      </c>
      <c r="M374">
        <v>0</v>
      </c>
      <c r="U374">
        <v>558</v>
      </c>
      <c r="V374">
        <v>472</v>
      </c>
      <c r="W374">
        <v>0</v>
      </c>
      <c r="X374">
        <v>0</v>
      </c>
      <c r="Y374">
        <v>15</v>
      </c>
      <c r="Z374">
        <v>15</v>
      </c>
      <c r="AA374">
        <v>0</v>
      </c>
      <c r="AB374">
        <v>0</v>
      </c>
      <c r="AC374">
        <v>22</v>
      </c>
      <c r="AD374">
        <v>11</v>
      </c>
      <c r="AG374" t="s">
        <v>258</v>
      </c>
      <c r="AH374" t="s">
        <v>435</v>
      </c>
      <c r="AI374">
        <v>218</v>
      </c>
      <c r="AJ374">
        <v>39</v>
      </c>
      <c r="AK374">
        <v>87</v>
      </c>
      <c r="AL374">
        <v>3</v>
      </c>
      <c r="AM374">
        <v>0</v>
      </c>
      <c r="AN374" t="s">
        <v>49</v>
      </c>
      <c r="AO374">
        <v>0.84587813620071683</v>
      </c>
      <c r="AP374">
        <v>82</v>
      </c>
    </row>
    <row r="375" spans="1:42" x14ac:dyDescent="0.35">
      <c r="A375">
        <v>97754</v>
      </c>
      <c r="B375">
        <v>8619</v>
      </c>
      <c r="C375">
        <v>950783</v>
      </c>
      <c r="D375">
        <v>452</v>
      </c>
      <c r="E375" s="147">
        <v>44207</v>
      </c>
      <c r="F375" t="s">
        <v>577</v>
      </c>
      <c r="G375" t="s">
        <v>124</v>
      </c>
      <c r="H375" s="147">
        <v>44212</v>
      </c>
      <c r="I375">
        <v>7</v>
      </c>
      <c r="J375" t="s">
        <v>196</v>
      </c>
      <c r="L375">
        <v>0</v>
      </c>
      <c r="M375">
        <v>0</v>
      </c>
      <c r="U375">
        <v>786</v>
      </c>
      <c r="V375">
        <v>615</v>
      </c>
      <c r="W375">
        <v>0</v>
      </c>
      <c r="X375">
        <v>0</v>
      </c>
      <c r="Y375">
        <v>15</v>
      </c>
      <c r="Z375">
        <v>14</v>
      </c>
      <c r="AA375">
        <v>0</v>
      </c>
      <c r="AB375">
        <v>0</v>
      </c>
      <c r="AC375">
        <v>12</v>
      </c>
      <c r="AD375">
        <v>6</v>
      </c>
      <c r="AG375" t="s">
        <v>258</v>
      </c>
      <c r="AH375" t="s">
        <v>435</v>
      </c>
      <c r="AI375">
        <v>286</v>
      </c>
      <c r="AJ375">
        <v>76</v>
      </c>
      <c r="AK375">
        <v>75</v>
      </c>
      <c r="AL375">
        <v>3</v>
      </c>
      <c r="AM375">
        <v>0</v>
      </c>
      <c r="AN375" t="s">
        <v>49</v>
      </c>
      <c r="AO375">
        <v>0.78244274809160308</v>
      </c>
      <c r="AP375">
        <v>138</v>
      </c>
    </row>
    <row r="376" spans="1:42" x14ac:dyDescent="0.35">
      <c r="A376">
        <v>97756</v>
      </c>
      <c r="B376">
        <v>8619</v>
      </c>
      <c r="C376">
        <v>950785</v>
      </c>
      <c r="D376">
        <v>369</v>
      </c>
      <c r="E376" s="147">
        <v>44207</v>
      </c>
      <c r="F376" t="s">
        <v>574</v>
      </c>
      <c r="G376" t="s">
        <v>137</v>
      </c>
      <c r="H376" s="147">
        <v>44212</v>
      </c>
      <c r="I376">
        <v>7</v>
      </c>
      <c r="J376" t="s">
        <v>196</v>
      </c>
      <c r="L376">
        <v>0</v>
      </c>
      <c r="M376">
        <v>0</v>
      </c>
      <c r="U376">
        <v>1329</v>
      </c>
      <c r="V376">
        <v>1175</v>
      </c>
      <c r="W376">
        <v>0</v>
      </c>
      <c r="X376">
        <v>0</v>
      </c>
      <c r="Y376">
        <v>118</v>
      </c>
      <c r="Z376">
        <v>72</v>
      </c>
      <c r="AA376">
        <v>0</v>
      </c>
      <c r="AB376">
        <v>0</v>
      </c>
      <c r="AC376">
        <v>48</v>
      </c>
      <c r="AD376">
        <v>25</v>
      </c>
      <c r="AG376" t="s">
        <v>258</v>
      </c>
      <c r="AH376" t="s">
        <v>435</v>
      </c>
      <c r="AI376">
        <v>633</v>
      </c>
      <c r="AJ376">
        <v>236</v>
      </c>
      <c r="AK376">
        <v>110</v>
      </c>
      <c r="AL376">
        <v>9</v>
      </c>
      <c r="AM376">
        <v>0</v>
      </c>
      <c r="AN376" t="s">
        <v>49</v>
      </c>
      <c r="AO376">
        <v>0.88412340105342357</v>
      </c>
      <c r="AP376">
        <v>381</v>
      </c>
    </row>
    <row r="377" spans="1:42" x14ac:dyDescent="0.35">
      <c r="A377">
        <v>97760</v>
      </c>
      <c r="B377">
        <v>8619</v>
      </c>
      <c r="C377">
        <v>950789</v>
      </c>
      <c r="D377">
        <v>355</v>
      </c>
      <c r="E377" s="147">
        <v>44207</v>
      </c>
      <c r="F377" t="s">
        <v>535</v>
      </c>
      <c r="G377" t="s">
        <v>152</v>
      </c>
      <c r="H377" s="147">
        <v>44212</v>
      </c>
      <c r="I377">
        <v>7</v>
      </c>
      <c r="J377" t="s">
        <v>196</v>
      </c>
      <c r="L377">
        <v>0</v>
      </c>
      <c r="M377">
        <v>0</v>
      </c>
      <c r="U377">
        <v>435</v>
      </c>
      <c r="V377">
        <v>385</v>
      </c>
      <c r="W377">
        <v>0</v>
      </c>
      <c r="X377">
        <v>0</v>
      </c>
      <c r="Y377">
        <v>20</v>
      </c>
      <c r="Z377">
        <v>14</v>
      </c>
      <c r="AA377">
        <v>0</v>
      </c>
      <c r="AB377">
        <v>0</v>
      </c>
      <c r="AC377">
        <v>14</v>
      </c>
      <c r="AD377">
        <v>8</v>
      </c>
      <c r="AG377" t="s">
        <v>258</v>
      </c>
      <c r="AH377" t="s">
        <v>435</v>
      </c>
      <c r="AI377">
        <v>209</v>
      </c>
      <c r="AJ377">
        <v>44</v>
      </c>
      <c r="AK377">
        <v>63</v>
      </c>
      <c r="AL377">
        <v>2</v>
      </c>
      <c r="AM377">
        <v>0</v>
      </c>
      <c r="AN377" t="s">
        <v>49</v>
      </c>
      <c r="AO377">
        <v>0.88505747126436785</v>
      </c>
      <c r="AP377">
        <v>98</v>
      </c>
    </row>
    <row r="378" spans="1:42" x14ac:dyDescent="0.35">
      <c r="A378">
        <v>97761</v>
      </c>
      <c r="B378">
        <v>8619</v>
      </c>
      <c r="C378">
        <v>950790</v>
      </c>
      <c r="D378">
        <v>331</v>
      </c>
      <c r="E378" s="147">
        <v>44207</v>
      </c>
      <c r="F378" t="s">
        <v>575</v>
      </c>
      <c r="G378" t="s">
        <v>173</v>
      </c>
      <c r="H378" s="147">
        <v>44212</v>
      </c>
      <c r="I378">
        <v>7</v>
      </c>
      <c r="J378" t="s">
        <v>196</v>
      </c>
      <c r="L378">
        <v>0</v>
      </c>
      <c r="M378">
        <v>0</v>
      </c>
      <c r="U378">
        <v>763</v>
      </c>
      <c r="V378">
        <v>654</v>
      </c>
      <c r="W378">
        <v>0</v>
      </c>
      <c r="X378">
        <v>0</v>
      </c>
      <c r="Y378">
        <v>35</v>
      </c>
      <c r="Z378">
        <v>20</v>
      </c>
      <c r="AA378">
        <v>0</v>
      </c>
      <c r="AB378">
        <v>0</v>
      </c>
      <c r="AC378">
        <v>2</v>
      </c>
      <c r="AD378">
        <v>2</v>
      </c>
      <c r="AG378" t="s">
        <v>258</v>
      </c>
      <c r="AH378" t="s">
        <v>435</v>
      </c>
      <c r="AI378">
        <v>287</v>
      </c>
      <c r="AJ378">
        <v>79</v>
      </c>
      <c r="AK378">
        <v>142</v>
      </c>
      <c r="AL378">
        <v>5</v>
      </c>
      <c r="AM378">
        <v>0</v>
      </c>
      <c r="AN378" t="s">
        <v>49</v>
      </c>
      <c r="AO378">
        <v>0.8571428571428571</v>
      </c>
      <c r="AP378">
        <v>147</v>
      </c>
    </row>
    <row r="379" spans="1:42" x14ac:dyDescent="0.35">
      <c r="A379">
        <v>97870</v>
      </c>
      <c r="B379">
        <v>8619</v>
      </c>
      <c r="C379">
        <v>950899</v>
      </c>
      <c r="D379">
        <v>491</v>
      </c>
      <c r="E379" s="147">
        <v>44207</v>
      </c>
      <c r="F379" t="s">
        <v>531</v>
      </c>
      <c r="G379" t="s">
        <v>76</v>
      </c>
      <c r="H379" s="147">
        <v>44213</v>
      </c>
      <c r="I379">
        <v>7</v>
      </c>
      <c r="J379" t="s">
        <v>197</v>
      </c>
      <c r="L379">
        <v>0</v>
      </c>
      <c r="M379">
        <v>0</v>
      </c>
      <c r="U379">
        <v>543</v>
      </c>
      <c r="V379">
        <v>478</v>
      </c>
      <c r="W379">
        <v>0</v>
      </c>
      <c r="X379">
        <v>0</v>
      </c>
      <c r="Y379">
        <v>15</v>
      </c>
      <c r="Z379">
        <v>15</v>
      </c>
      <c r="AA379">
        <v>0</v>
      </c>
      <c r="AB379">
        <v>0</v>
      </c>
      <c r="AC379">
        <v>6</v>
      </c>
      <c r="AD379">
        <v>4</v>
      </c>
      <c r="AG379" t="s">
        <v>258</v>
      </c>
      <c r="AH379" t="s">
        <v>435</v>
      </c>
      <c r="AI379">
        <v>218</v>
      </c>
      <c r="AJ379">
        <v>50</v>
      </c>
      <c r="AK379">
        <v>58</v>
      </c>
      <c r="AL379">
        <v>1</v>
      </c>
      <c r="AM379">
        <v>0</v>
      </c>
      <c r="AN379" t="s">
        <v>49</v>
      </c>
      <c r="AO379">
        <v>0.88029465930018413</v>
      </c>
      <c r="AP379">
        <v>91</v>
      </c>
    </row>
    <row r="380" spans="1:42" x14ac:dyDescent="0.35">
      <c r="A380">
        <v>97877</v>
      </c>
      <c r="B380">
        <v>8619</v>
      </c>
      <c r="C380">
        <v>950906</v>
      </c>
      <c r="D380">
        <v>504</v>
      </c>
      <c r="E380" s="147">
        <v>44207</v>
      </c>
      <c r="F380" t="s">
        <v>576</v>
      </c>
      <c r="G380" t="s">
        <v>114</v>
      </c>
      <c r="H380" s="147">
        <v>44213</v>
      </c>
      <c r="I380">
        <v>7</v>
      </c>
      <c r="J380" t="s">
        <v>197</v>
      </c>
      <c r="L380">
        <v>0</v>
      </c>
      <c r="M380">
        <v>0</v>
      </c>
      <c r="U380">
        <v>863</v>
      </c>
      <c r="V380">
        <v>786</v>
      </c>
      <c r="W380">
        <v>0</v>
      </c>
      <c r="X380">
        <v>0</v>
      </c>
      <c r="Y380">
        <v>28</v>
      </c>
      <c r="Z380">
        <v>9</v>
      </c>
      <c r="AA380">
        <v>0</v>
      </c>
      <c r="AB380">
        <v>0</v>
      </c>
      <c r="AC380">
        <v>7</v>
      </c>
      <c r="AD380">
        <v>5</v>
      </c>
      <c r="AG380" t="s">
        <v>258</v>
      </c>
      <c r="AH380" t="s">
        <v>435</v>
      </c>
      <c r="AI380">
        <v>416</v>
      </c>
      <c r="AJ380">
        <v>130</v>
      </c>
      <c r="AK380">
        <v>103</v>
      </c>
      <c r="AL380">
        <v>14</v>
      </c>
      <c r="AM380">
        <v>0</v>
      </c>
      <c r="AN380" t="s">
        <v>49</v>
      </c>
      <c r="AO380">
        <v>0.91077636152954811</v>
      </c>
      <c r="AP380">
        <v>212</v>
      </c>
    </row>
    <row r="381" spans="1:42" x14ac:dyDescent="0.35">
      <c r="A381">
        <v>97880</v>
      </c>
      <c r="B381">
        <v>8619</v>
      </c>
      <c r="C381">
        <v>950909</v>
      </c>
      <c r="D381">
        <v>382</v>
      </c>
      <c r="E381" s="147">
        <v>44207</v>
      </c>
      <c r="F381" t="s">
        <v>573</v>
      </c>
      <c r="G381" t="s">
        <v>123</v>
      </c>
      <c r="H381" s="147">
        <v>44213</v>
      </c>
      <c r="I381">
        <v>7</v>
      </c>
      <c r="J381" t="s">
        <v>197</v>
      </c>
      <c r="L381">
        <v>0</v>
      </c>
      <c r="M381">
        <v>0</v>
      </c>
      <c r="U381">
        <v>570</v>
      </c>
      <c r="V381">
        <v>472</v>
      </c>
      <c r="W381">
        <v>0</v>
      </c>
      <c r="X381">
        <v>0</v>
      </c>
      <c r="Y381">
        <v>15</v>
      </c>
      <c r="Z381">
        <v>15</v>
      </c>
      <c r="AA381">
        <v>0</v>
      </c>
      <c r="AB381">
        <v>0</v>
      </c>
      <c r="AC381">
        <v>22</v>
      </c>
      <c r="AD381">
        <v>9</v>
      </c>
      <c r="AG381" t="s">
        <v>258</v>
      </c>
      <c r="AH381" t="s">
        <v>435</v>
      </c>
      <c r="AI381">
        <v>232</v>
      </c>
      <c r="AJ381">
        <v>45</v>
      </c>
      <c r="AK381">
        <v>80</v>
      </c>
      <c r="AL381">
        <v>4</v>
      </c>
      <c r="AM381">
        <v>0</v>
      </c>
      <c r="AN381" t="s">
        <v>49</v>
      </c>
      <c r="AO381">
        <v>0.82807017543859651</v>
      </c>
      <c r="AP381">
        <v>93</v>
      </c>
    </row>
    <row r="382" spans="1:42" x14ac:dyDescent="0.35">
      <c r="A382">
        <v>97881</v>
      </c>
      <c r="B382">
        <v>8619</v>
      </c>
      <c r="C382">
        <v>950910</v>
      </c>
      <c r="D382">
        <v>452</v>
      </c>
      <c r="E382" s="147">
        <v>44207</v>
      </c>
      <c r="F382" t="s">
        <v>577</v>
      </c>
      <c r="G382" t="s">
        <v>124</v>
      </c>
      <c r="H382" s="147">
        <v>44213</v>
      </c>
      <c r="I382">
        <v>7</v>
      </c>
      <c r="J382" t="s">
        <v>197</v>
      </c>
      <c r="L382">
        <v>0</v>
      </c>
      <c r="M382">
        <v>0</v>
      </c>
      <c r="U382">
        <v>782</v>
      </c>
      <c r="V382">
        <v>594</v>
      </c>
      <c r="W382">
        <v>0</v>
      </c>
      <c r="X382">
        <v>0</v>
      </c>
      <c r="Y382">
        <v>15</v>
      </c>
      <c r="Z382">
        <v>14</v>
      </c>
      <c r="AA382">
        <v>0</v>
      </c>
      <c r="AB382">
        <v>0</v>
      </c>
      <c r="AC382">
        <v>12</v>
      </c>
      <c r="AD382">
        <v>6</v>
      </c>
      <c r="AG382" t="s">
        <v>258</v>
      </c>
      <c r="AH382" t="s">
        <v>435</v>
      </c>
      <c r="AI382">
        <v>289</v>
      </c>
      <c r="AJ382">
        <v>73</v>
      </c>
      <c r="AK382">
        <v>101</v>
      </c>
      <c r="AL382">
        <v>5</v>
      </c>
      <c r="AM382">
        <v>0</v>
      </c>
      <c r="AN382" t="s">
        <v>49</v>
      </c>
      <c r="AO382">
        <v>0.75959079283887465</v>
      </c>
      <c r="AP382">
        <v>144</v>
      </c>
    </row>
    <row r="383" spans="1:42" x14ac:dyDescent="0.35">
      <c r="A383">
        <v>97883</v>
      </c>
      <c r="B383">
        <v>8619</v>
      </c>
      <c r="C383">
        <v>950912</v>
      </c>
      <c r="D383">
        <v>369</v>
      </c>
      <c r="E383" s="147">
        <v>44207</v>
      </c>
      <c r="F383" t="s">
        <v>574</v>
      </c>
      <c r="G383" t="s">
        <v>137</v>
      </c>
      <c r="H383" s="147">
        <v>44213</v>
      </c>
      <c r="I383">
        <v>7</v>
      </c>
      <c r="J383" t="s">
        <v>197</v>
      </c>
      <c r="L383">
        <v>0</v>
      </c>
      <c r="M383">
        <v>0</v>
      </c>
      <c r="U383">
        <v>1329</v>
      </c>
      <c r="V383">
        <v>1179</v>
      </c>
      <c r="W383">
        <v>0</v>
      </c>
      <c r="X383">
        <v>0</v>
      </c>
      <c r="Y383">
        <v>118</v>
      </c>
      <c r="Z383">
        <v>82</v>
      </c>
      <c r="AA383">
        <v>0</v>
      </c>
      <c r="AB383">
        <v>0</v>
      </c>
      <c r="AC383">
        <v>48</v>
      </c>
      <c r="AD383">
        <v>24</v>
      </c>
      <c r="AG383" t="s">
        <v>258</v>
      </c>
      <c r="AH383" t="s">
        <v>435</v>
      </c>
      <c r="AI383">
        <v>635</v>
      </c>
      <c r="AJ383">
        <v>241</v>
      </c>
      <c r="AK383">
        <v>101</v>
      </c>
      <c r="AL383">
        <v>3</v>
      </c>
      <c r="AM383">
        <v>0</v>
      </c>
      <c r="AN383" t="s">
        <v>49</v>
      </c>
      <c r="AO383">
        <v>0.88713318284424381</v>
      </c>
      <c r="AP383">
        <v>384</v>
      </c>
    </row>
    <row r="384" spans="1:42" x14ac:dyDescent="0.35">
      <c r="A384">
        <v>97884</v>
      </c>
      <c r="B384">
        <v>8619</v>
      </c>
      <c r="C384">
        <v>950913</v>
      </c>
      <c r="D384">
        <v>458</v>
      </c>
      <c r="E384" s="147">
        <v>44207</v>
      </c>
      <c r="F384" t="s">
        <v>539</v>
      </c>
      <c r="G384" t="s">
        <v>140</v>
      </c>
      <c r="H384" s="147">
        <v>44213</v>
      </c>
      <c r="I384">
        <v>7</v>
      </c>
      <c r="J384" t="s">
        <v>197</v>
      </c>
      <c r="L384">
        <v>0</v>
      </c>
      <c r="M384">
        <v>0</v>
      </c>
      <c r="U384">
        <v>755</v>
      </c>
      <c r="V384">
        <v>601</v>
      </c>
      <c r="W384">
        <v>0</v>
      </c>
      <c r="X384">
        <v>0</v>
      </c>
      <c r="Y384">
        <v>68</v>
      </c>
      <c r="Z384">
        <v>60</v>
      </c>
      <c r="AA384">
        <v>0</v>
      </c>
      <c r="AB384">
        <v>0</v>
      </c>
      <c r="AC384">
        <v>15</v>
      </c>
      <c r="AD384">
        <v>5</v>
      </c>
      <c r="AG384" t="s">
        <v>258</v>
      </c>
      <c r="AH384" t="s">
        <v>435</v>
      </c>
      <c r="AI384">
        <v>321</v>
      </c>
      <c r="AJ384">
        <v>120</v>
      </c>
      <c r="AK384">
        <v>81</v>
      </c>
      <c r="AL384">
        <v>1</v>
      </c>
      <c r="AM384">
        <v>0</v>
      </c>
      <c r="AN384" t="s">
        <v>49</v>
      </c>
      <c r="AO384">
        <v>0.79602649006622517</v>
      </c>
      <c r="AP384">
        <v>190</v>
      </c>
    </row>
    <row r="385" spans="1:42" x14ac:dyDescent="0.35">
      <c r="A385">
        <v>97885</v>
      </c>
      <c r="B385">
        <v>8619</v>
      </c>
      <c r="C385">
        <v>950914</v>
      </c>
      <c r="D385">
        <v>25511</v>
      </c>
      <c r="E385" s="147">
        <v>44207</v>
      </c>
      <c r="F385" t="s">
        <v>579</v>
      </c>
      <c r="G385" t="s">
        <v>290</v>
      </c>
      <c r="H385" s="147">
        <v>44213</v>
      </c>
      <c r="I385">
        <v>7</v>
      </c>
      <c r="J385" t="s">
        <v>197</v>
      </c>
      <c r="L385">
        <v>0</v>
      </c>
      <c r="M385">
        <v>0</v>
      </c>
      <c r="U385">
        <v>998</v>
      </c>
      <c r="V385">
        <v>771</v>
      </c>
      <c r="W385">
        <v>0</v>
      </c>
      <c r="X385">
        <v>0</v>
      </c>
      <c r="Y385">
        <v>33</v>
      </c>
      <c r="Z385">
        <v>27</v>
      </c>
      <c r="AA385">
        <v>0</v>
      </c>
      <c r="AB385">
        <v>0</v>
      </c>
      <c r="AC385">
        <v>7</v>
      </c>
      <c r="AD385">
        <v>7</v>
      </c>
      <c r="AG385" t="s">
        <v>258</v>
      </c>
      <c r="AH385" t="s">
        <v>435</v>
      </c>
      <c r="AI385">
        <v>332</v>
      </c>
      <c r="AJ385">
        <v>106</v>
      </c>
      <c r="AK385">
        <v>117</v>
      </c>
      <c r="AL385">
        <v>2</v>
      </c>
      <c r="AM385">
        <v>0</v>
      </c>
      <c r="AN385" t="s">
        <v>49</v>
      </c>
      <c r="AO385">
        <v>0.77254509018036077</v>
      </c>
      <c r="AP385">
        <v>180</v>
      </c>
    </row>
    <row r="386" spans="1:42" x14ac:dyDescent="0.35">
      <c r="A386">
        <v>97888</v>
      </c>
      <c r="B386">
        <v>8619</v>
      </c>
      <c r="C386">
        <v>950917</v>
      </c>
      <c r="D386">
        <v>331</v>
      </c>
      <c r="E386" s="147">
        <v>44207</v>
      </c>
      <c r="F386" t="s">
        <v>575</v>
      </c>
      <c r="G386" t="s">
        <v>173</v>
      </c>
      <c r="H386" s="147">
        <v>44213</v>
      </c>
      <c r="I386">
        <v>7</v>
      </c>
      <c r="J386" t="s">
        <v>197</v>
      </c>
      <c r="L386">
        <v>0</v>
      </c>
      <c r="M386">
        <v>0</v>
      </c>
      <c r="U386">
        <v>758</v>
      </c>
      <c r="V386">
        <v>652</v>
      </c>
      <c r="W386">
        <v>0</v>
      </c>
      <c r="X386">
        <v>0</v>
      </c>
      <c r="Y386">
        <v>35</v>
      </c>
      <c r="Z386">
        <v>20</v>
      </c>
      <c r="AA386">
        <v>0</v>
      </c>
      <c r="AB386">
        <v>0</v>
      </c>
      <c r="AC386">
        <v>2</v>
      </c>
      <c r="AD386">
        <v>2</v>
      </c>
      <c r="AG386" t="s">
        <v>258</v>
      </c>
      <c r="AH386" t="s">
        <v>435</v>
      </c>
      <c r="AI386">
        <v>282</v>
      </c>
      <c r="AJ386">
        <v>82</v>
      </c>
      <c r="AK386">
        <v>127</v>
      </c>
      <c r="AL386">
        <v>4</v>
      </c>
      <c r="AM386">
        <v>0</v>
      </c>
      <c r="AN386" t="s">
        <v>49</v>
      </c>
      <c r="AO386">
        <v>0.86015831134564646</v>
      </c>
      <c r="AP386">
        <v>145</v>
      </c>
    </row>
    <row r="387" spans="1:42" x14ac:dyDescent="0.35">
      <c r="A387">
        <v>97484</v>
      </c>
      <c r="B387">
        <v>8619</v>
      </c>
      <c r="C387">
        <v>950513</v>
      </c>
      <c r="D387">
        <v>486</v>
      </c>
      <c r="E387" s="147">
        <v>44207</v>
      </c>
      <c r="F387" t="s">
        <v>503</v>
      </c>
      <c r="G387" t="s">
        <v>169</v>
      </c>
      <c r="H387" s="147">
        <v>44210</v>
      </c>
      <c r="I387">
        <v>7</v>
      </c>
      <c r="J387" t="s">
        <v>198</v>
      </c>
      <c r="L387">
        <v>0</v>
      </c>
      <c r="M387">
        <v>2</v>
      </c>
      <c r="U387">
        <v>767</v>
      </c>
      <c r="V387">
        <v>643</v>
      </c>
      <c r="W387">
        <v>0</v>
      </c>
      <c r="X387">
        <v>0</v>
      </c>
      <c r="Y387">
        <v>31</v>
      </c>
      <c r="Z387">
        <v>25</v>
      </c>
      <c r="AA387">
        <v>0</v>
      </c>
      <c r="AB387">
        <v>0</v>
      </c>
      <c r="AC387">
        <v>0</v>
      </c>
      <c r="AD387">
        <v>0</v>
      </c>
      <c r="AG387" t="s">
        <v>226</v>
      </c>
      <c r="AH387" t="s">
        <v>435</v>
      </c>
      <c r="AI387">
        <v>235</v>
      </c>
      <c r="AJ387">
        <v>47</v>
      </c>
      <c r="AK387">
        <v>143</v>
      </c>
      <c r="AL387">
        <v>8</v>
      </c>
      <c r="AM387">
        <v>0</v>
      </c>
      <c r="AN387" t="s">
        <v>49</v>
      </c>
      <c r="AO387">
        <v>0.83833116036505873</v>
      </c>
      <c r="AP387">
        <v>102</v>
      </c>
    </row>
    <row r="388" spans="1:42" x14ac:dyDescent="0.35">
      <c r="A388">
        <v>97529</v>
      </c>
      <c r="B388">
        <v>8619</v>
      </c>
      <c r="C388">
        <v>950558</v>
      </c>
      <c r="D388">
        <v>506</v>
      </c>
      <c r="E388" s="147">
        <v>44207</v>
      </c>
      <c r="F388" t="s">
        <v>580</v>
      </c>
      <c r="G388" t="s">
        <v>74</v>
      </c>
      <c r="H388" s="147">
        <v>44210</v>
      </c>
      <c r="I388">
        <v>7</v>
      </c>
      <c r="J388" t="s">
        <v>198</v>
      </c>
      <c r="L388">
        <v>0</v>
      </c>
      <c r="M388">
        <v>2</v>
      </c>
      <c r="U388">
        <v>733</v>
      </c>
      <c r="V388">
        <v>617</v>
      </c>
      <c r="W388">
        <v>0</v>
      </c>
      <c r="X388">
        <v>0</v>
      </c>
      <c r="Y388">
        <v>68</v>
      </c>
      <c r="Z388">
        <v>66</v>
      </c>
      <c r="AA388">
        <v>0</v>
      </c>
      <c r="AB388">
        <v>0</v>
      </c>
      <c r="AC388">
        <v>39</v>
      </c>
      <c r="AD388">
        <v>24</v>
      </c>
      <c r="AG388" t="s">
        <v>223</v>
      </c>
      <c r="AH388" t="s">
        <v>435</v>
      </c>
      <c r="AI388">
        <v>368</v>
      </c>
      <c r="AJ388">
        <v>140</v>
      </c>
      <c r="AK388">
        <v>98</v>
      </c>
      <c r="AL388">
        <v>12</v>
      </c>
      <c r="AM388">
        <v>0</v>
      </c>
      <c r="AN388" t="s">
        <v>49</v>
      </c>
      <c r="AO388">
        <v>0.84174624829467937</v>
      </c>
      <c r="AP388">
        <v>219</v>
      </c>
    </row>
    <row r="389" spans="1:42" x14ac:dyDescent="0.35">
      <c r="A389">
        <v>97103</v>
      </c>
      <c r="B389">
        <v>8619</v>
      </c>
      <c r="C389">
        <v>950132</v>
      </c>
      <c r="D389">
        <v>486</v>
      </c>
      <c r="E389" s="147">
        <v>44207</v>
      </c>
      <c r="F389" t="s">
        <v>503</v>
      </c>
      <c r="G389" t="s">
        <v>169</v>
      </c>
      <c r="H389" s="147">
        <v>44207</v>
      </c>
      <c r="I389">
        <v>7</v>
      </c>
      <c r="J389" t="s">
        <v>195</v>
      </c>
      <c r="L389">
        <v>0</v>
      </c>
      <c r="M389">
        <v>1</v>
      </c>
      <c r="U389">
        <v>764</v>
      </c>
      <c r="V389">
        <v>672</v>
      </c>
      <c r="W389">
        <v>0</v>
      </c>
      <c r="X389">
        <v>0</v>
      </c>
      <c r="Y389">
        <v>30</v>
      </c>
      <c r="Z389">
        <v>26</v>
      </c>
      <c r="AA389">
        <v>0</v>
      </c>
      <c r="AB389">
        <v>0</v>
      </c>
      <c r="AC389">
        <v>0</v>
      </c>
      <c r="AD389">
        <v>0</v>
      </c>
      <c r="AG389" t="s">
        <v>226</v>
      </c>
      <c r="AH389" t="s">
        <v>435</v>
      </c>
      <c r="AI389">
        <v>217</v>
      </c>
      <c r="AJ389">
        <v>50</v>
      </c>
      <c r="AK389">
        <v>156</v>
      </c>
      <c r="AL389">
        <v>15</v>
      </c>
      <c r="AM389">
        <v>8</v>
      </c>
      <c r="AN389" t="s">
        <v>49</v>
      </c>
      <c r="AO389">
        <v>0.87958115183246077</v>
      </c>
      <c r="AP389">
        <v>101</v>
      </c>
    </row>
    <row r="390" spans="1:42" x14ac:dyDescent="0.35">
      <c r="A390">
        <v>97148</v>
      </c>
      <c r="B390">
        <v>8619</v>
      </c>
      <c r="C390">
        <v>950177</v>
      </c>
      <c r="D390">
        <v>506</v>
      </c>
      <c r="E390" s="147">
        <v>44207</v>
      </c>
      <c r="F390" t="s">
        <v>580</v>
      </c>
      <c r="G390" t="s">
        <v>74</v>
      </c>
      <c r="H390" s="147">
        <v>44207</v>
      </c>
      <c r="I390">
        <v>7</v>
      </c>
      <c r="J390" t="s">
        <v>195</v>
      </c>
      <c r="L390">
        <v>0</v>
      </c>
      <c r="M390">
        <v>1</v>
      </c>
      <c r="U390">
        <v>763</v>
      </c>
      <c r="V390">
        <v>632</v>
      </c>
      <c r="W390">
        <v>0</v>
      </c>
      <c r="X390">
        <v>0</v>
      </c>
      <c r="Y390">
        <v>60</v>
      </c>
      <c r="Z390">
        <v>60</v>
      </c>
      <c r="AA390">
        <v>0</v>
      </c>
      <c r="AB390">
        <v>0</v>
      </c>
      <c r="AC390">
        <v>41</v>
      </c>
      <c r="AD390">
        <v>23</v>
      </c>
      <c r="AG390" t="s">
        <v>223</v>
      </c>
      <c r="AH390" t="s">
        <v>435</v>
      </c>
      <c r="AI390">
        <v>369</v>
      </c>
      <c r="AJ390">
        <v>149</v>
      </c>
      <c r="AK390">
        <v>96</v>
      </c>
      <c r="AL390">
        <v>31</v>
      </c>
      <c r="AM390">
        <v>18</v>
      </c>
      <c r="AN390" t="s">
        <v>49</v>
      </c>
      <c r="AO390">
        <v>0.82830930537352554</v>
      </c>
      <c r="AP390">
        <v>223</v>
      </c>
    </row>
    <row r="391" spans="1:42" x14ac:dyDescent="0.35">
      <c r="A391">
        <v>97217</v>
      </c>
      <c r="B391">
        <v>8619</v>
      </c>
      <c r="C391">
        <v>950246</v>
      </c>
      <c r="D391">
        <v>507</v>
      </c>
      <c r="E391" s="147">
        <v>44207</v>
      </c>
      <c r="F391" t="s">
        <v>565</v>
      </c>
      <c r="G391" t="s">
        <v>135</v>
      </c>
      <c r="H391" s="147">
        <v>44208</v>
      </c>
      <c r="I391">
        <v>7</v>
      </c>
      <c r="J391" t="s">
        <v>199</v>
      </c>
      <c r="L391">
        <v>0</v>
      </c>
      <c r="M391">
        <v>1</v>
      </c>
      <c r="U391">
        <v>723</v>
      </c>
      <c r="V391">
        <v>603</v>
      </c>
      <c r="W391">
        <v>0</v>
      </c>
      <c r="X391">
        <v>0</v>
      </c>
      <c r="Y391">
        <v>38</v>
      </c>
      <c r="Z391">
        <v>38</v>
      </c>
      <c r="AA391">
        <v>0</v>
      </c>
      <c r="AB391">
        <v>0</v>
      </c>
      <c r="AC391">
        <v>10</v>
      </c>
      <c r="AD391">
        <v>6</v>
      </c>
      <c r="AG391" t="s">
        <v>226</v>
      </c>
      <c r="AH391" t="s">
        <v>435</v>
      </c>
      <c r="AI391">
        <v>302</v>
      </c>
      <c r="AJ391">
        <v>65</v>
      </c>
      <c r="AK391">
        <v>167</v>
      </c>
      <c r="AL391">
        <v>14</v>
      </c>
      <c r="AM391">
        <v>34</v>
      </c>
      <c r="AN391" t="s">
        <v>49</v>
      </c>
      <c r="AO391">
        <v>0.8340248962655602</v>
      </c>
      <c r="AP391">
        <v>130</v>
      </c>
    </row>
    <row r="392" spans="1:42" x14ac:dyDescent="0.35">
      <c r="A392">
        <v>97275</v>
      </c>
      <c r="B392">
        <v>8619</v>
      </c>
      <c r="C392">
        <v>950304</v>
      </c>
      <c r="D392">
        <v>506</v>
      </c>
      <c r="E392" s="147">
        <v>44207</v>
      </c>
      <c r="F392" t="s">
        <v>580</v>
      </c>
      <c r="G392" t="s">
        <v>74</v>
      </c>
      <c r="H392" s="147">
        <v>44208</v>
      </c>
      <c r="I392">
        <v>7</v>
      </c>
      <c r="J392" t="s">
        <v>199</v>
      </c>
      <c r="L392">
        <v>0</v>
      </c>
      <c r="M392">
        <v>2</v>
      </c>
      <c r="U392">
        <v>735</v>
      </c>
      <c r="V392">
        <v>613</v>
      </c>
      <c r="W392">
        <v>0</v>
      </c>
      <c r="X392">
        <v>0</v>
      </c>
      <c r="Y392">
        <v>72</v>
      </c>
      <c r="Z392">
        <v>72</v>
      </c>
      <c r="AA392">
        <v>0</v>
      </c>
      <c r="AB392">
        <v>0</v>
      </c>
      <c r="AC392">
        <v>45</v>
      </c>
      <c r="AD392">
        <v>20</v>
      </c>
      <c r="AG392" t="s">
        <v>223</v>
      </c>
      <c r="AH392" t="s">
        <v>435</v>
      </c>
      <c r="AI392">
        <v>370</v>
      </c>
      <c r="AJ392">
        <v>145</v>
      </c>
      <c r="AK392">
        <v>96</v>
      </c>
      <c r="AL392">
        <v>20</v>
      </c>
      <c r="AM392">
        <v>6</v>
      </c>
      <c r="AN392" t="s">
        <v>49</v>
      </c>
      <c r="AO392">
        <v>0.83401360544217684</v>
      </c>
      <c r="AP392">
        <v>220</v>
      </c>
    </row>
    <row r="393" spans="1:42" x14ac:dyDescent="0.35">
      <c r="A393">
        <v>97344</v>
      </c>
      <c r="B393">
        <v>8619</v>
      </c>
      <c r="C393">
        <v>950373</v>
      </c>
      <c r="D393">
        <v>507</v>
      </c>
      <c r="E393" s="147">
        <v>44207</v>
      </c>
      <c r="F393" t="s">
        <v>565</v>
      </c>
      <c r="G393" t="s">
        <v>135</v>
      </c>
      <c r="H393" s="147">
        <v>44209</v>
      </c>
      <c r="I393">
        <v>7</v>
      </c>
      <c r="J393" t="s">
        <v>200</v>
      </c>
      <c r="L393">
        <v>0</v>
      </c>
      <c r="M393">
        <v>1</v>
      </c>
      <c r="U393">
        <v>726</v>
      </c>
      <c r="V393">
        <v>632</v>
      </c>
      <c r="W393">
        <v>0</v>
      </c>
      <c r="X393">
        <v>0</v>
      </c>
      <c r="Y393">
        <v>40</v>
      </c>
      <c r="Z393">
        <v>40</v>
      </c>
      <c r="AA393">
        <v>0</v>
      </c>
      <c r="AB393">
        <v>0</v>
      </c>
      <c r="AC393">
        <v>10</v>
      </c>
      <c r="AD393">
        <v>6</v>
      </c>
      <c r="AG393" t="s">
        <v>226</v>
      </c>
      <c r="AH393" t="s">
        <v>435</v>
      </c>
      <c r="AI393">
        <v>303</v>
      </c>
      <c r="AJ393">
        <v>68</v>
      </c>
      <c r="AK393">
        <v>145</v>
      </c>
      <c r="AL393">
        <v>15</v>
      </c>
      <c r="AM393">
        <v>12</v>
      </c>
      <c r="AN393" t="s">
        <v>49</v>
      </c>
      <c r="AO393">
        <v>0.87052341597796146</v>
      </c>
      <c r="AP393">
        <v>131</v>
      </c>
    </row>
    <row r="394" spans="1:42" x14ac:dyDescent="0.35">
      <c r="A394">
        <v>97357</v>
      </c>
      <c r="B394">
        <v>8619</v>
      </c>
      <c r="C394">
        <v>950386</v>
      </c>
      <c r="D394">
        <v>486</v>
      </c>
      <c r="E394" s="147">
        <v>44207</v>
      </c>
      <c r="F394" t="s">
        <v>503</v>
      </c>
      <c r="G394" t="s">
        <v>169</v>
      </c>
      <c r="H394" s="147">
        <v>44209</v>
      </c>
      <c r="I394">
        <v>7</v>
      </c>
      <c r="J394" t="s">
        <v>200</v>
      </c>
      <c r="L394">
        <v>0</v>
      </c>
      <c r="M394">
        <v>2</v>
      </c>
      <c r="U394">
        <v>771</v>
      </c>
      <c r="V394">
        <v>657</v>
      </c>
      <c r="W394">
        <v>0</v>
      </c>
      <c r="X394">
        <v>0</v>
      </c>
      <c r="Y394">
        <v>31</v>
      </c>
      <c r="Z394">
        <v>25</v>
      </c>
      <c r="AA394">
        <v>0</v>
      </c>
      <c r="AB394">
        <v>0</v>
      </c>
      <c r="AC394">
        <v>0</v>
      </c>
      <c r="AD394">
        <v>0</v>
      </c>
      <c r="AG394" t="s">
        <v>226</v>
      </c>
      <c r="AH394" t="s">
        <v>435</v>
      </c>
      <c r="AI394">
        <v>231</v>
      </c>
      <c r="AJ394">
        <v>48</v>
      </c>
      <c r="AK394">
        <v>170</v>
      </c>
      <c r="AL394">
        <v>10</v>
      </c>
      <c r="AM394">
        <v>2</v>
      </c>
      <c r="AN394" t="s">
        <v>49</v>
      </c>
      <c r="AO394">
        <v>0.85214007782101164</v>
      </c>
      <c r="AP394">
        <v>105</v>
      </c>
    </row>
    <row r="395" spans="1:42" x14ac:dyDescent="0.35">
      <c r="A395">
        <v>97402</v>
      </c>
      <c r="B395">
        <v>8619</v>
      </c>
      <c r="C395">
        <v>950431</v>
      </c>
      <c r="D395">
        <v>506</v>
      </c>
      <c r="E395" s="147">
        <v>44207</v>
      </c>
      <c r="F395" t="s">
        <v>580</v>
      </c>
      <c r="G395" t="s">
        <v>74</v>
      </c>
      <c r="H395" s="147">
        <v>44209</v>
      </c>
      <c r="I395">
        <v>7</v>
      </c>
      <c r="J395" t="s">
        <v>200</v>
      </c>
      <c r="L395">
        <v>0</v>
      </c>
      <c r="M395">
        <v>1</v>
      </c>
      <c r="U395">
        <v>742</v>
      </c>
      <c r="V395">
        <v>599</v>
      </c>
      <c r="W395">
        <v>0</v>
      </c>
      <c r="X395">
        <v>0</v>
      </c>
      <c r="Y395">
        <v>78</v>
      </c>
      <c r="Z395">
        <v>76</v>
      </c>
      <c r="AA395">
        <v>0</v>
      </c>
      <c r="AB395">
        <v>0</v>
      </c>
      <c r="AC395">
        <v>39</v>
      </c>
      <c r="AD395">
        <v>21</v>
      </c>
      <c r="AG395" t="s">
        <v>223</v>
      </c>
      <c r="AH395" t="s">
        <v>435</v>
      </c>
      <c r="AI395">
        <v>378</v>
      </c>
      <c r="AJ395">
        <v>144</v>
      </c>
      <c r="AK395">
        <v>105</v>
      </c>
      <c r="AL395">
        <v>15</v>
      </c>
      <c r="AM395">
        <v>5</v>
      </c>
      <c r="AN395" t="s">
        <v>49</v>
      </c>
      <c r="AO395">
        <v>0.80727762803234504</v>
      </c>
      <c r="AP395">
        <v>226</v>
      </c>
    </row>
    <row r="396" spans="1:42" x14ac:dyDescent="0.35">
      <c r="A396">
        <v>97634</v>
      </c>
      <c r="B396">
        <v>8619</v>
      </c>
      <c r="C396">
        <v>950663</v>
      </c>
      <c r="D396">
        <v>331</v>
      </c>
      <c r="E396" s="147">
        <v>44207</v>
      </c>
      <c r="F396" t="s">
        <v>575</v>
      </c>
      <c r="G396" t="s">
        <v>173</v>
      </c>
      <c r="H396" s="147">
        <v>44211</v>
      </c>
      <c r="I396">
        <v>7</v>
      </c>
      <c r="J396" t="s">
        <v>194</v>
      </c>
      <c r="L396">
        <v>0</v>
      </c>
      <c r="M396">
        <v>1</v>
      </c>
      <c r="U396">
        <v>766</v>
      </c>
      <c r="V396">
        <v>666</v>
      </c>
      <c r="W396">
        <v>0</v>
      </c>
      <c r="X396">
        <v>0</v>
      </c>
      <c r="Y396">
        <v>25</v>
      </c>
      <c r="Z396">
        <v>19</v>
      </c>
      <c r="AA396">
        <v>0</v>
      </c>
      <c r="AB396">
        <v>0</v>
      </c>
      <c r="AC396">
        <v>2</v>
      </c>
      <c r="AD396">
        <v>2</v>
      </c>
      <c r="AG396" t="s">
        <v>258</v>
      </c>
      <c r="AH396" t="s">
        <v>435</v>
      </c>
      <c r="AI396">
        <v>317</v>
      </c>
      <c r="AJ396">
        <v>77</v>
      </c>
      <c r="AK396">
        <v>142</v>
      </c>
      <c r="AL396">
        <v>7</v>
      </c>
      <c r="AM396">
        <v>5</v>
      </c>
      <c r="AN396" t="s">
        <v>49</v>
      </c>
      <c r="AO396">
        <v>0.86945169712793735</v>
      </c>
      <c r="AP396">
        <v>157</v>
      </c>
    </row>
    <row r="397" spans="1:42" x14ac:dyDescent="0.35">
      <c r="A397">
        <v>97758</v>
      </c>
      <c r="B397">
        <v>8619</v>
      </c>
      <c r="C397">
        <v>950787</v>
      </c>
      <c r="D397">
        <v>25511</v>
      </c>
      <c r="E397" s="147">
        <v>44207</v>
      </c>
      <c r="F397" t="s">
        <v>579</v>
      </c>
      <c r="G397" t="s">
        <v>290</v>
      </c>
      <c r="H397" s="147">
        <v>44212</v>
      </c>
      <c r="I397">
        <v>7</v>
      </c>
      <c r="J397" t="s">
        <v>196</v>
      </c>
      <c r="L397">
        <v>0</v>
      </c>
      <c r="M397">
        <v>1</v>
      </c>
      <c r="U397">
        <v>999</v>
      </c>
      <c r="V397">
        <v>752</v>
      </c>
      <c r="W397">
        <v>0</v>
      </c>
      <c r="X397">
        <v>0</v>
      </c>
      <c r="Y397">
        <v>33</v>
      </c>
      <c r="Z397">
        <v>21</v>
      </c>
      <c r="AA397">
        <v>0</v>
      </c>
      <c r="AB397">
        <v>0</v>
      </c>
      <c r="AC397">
        <v>8</v>
      </c>
      <c r="AD397">
        <v>8</v>
      </c>
      <c r="AG397" t="s">
        <v>258</v>
      </c>
      <c r="AH397" t="s">
        <v>435</v>
      </c>
      <c r="AI397">
        <v>324</v>
      </c>
      <c r="AJ397">
        <v>106</v>
      </c>
      <c r="AK397">
        <v>127</v>
      </c>
      <c r="AL397">
        <v>17</v>
      </c>
      <c r="AM397">
        <v>2</v>
      </c>
      <c r="AN397" t="s">
        <v>49</v>
      </c>
      <c r="AO397">
        <v>0.75275275275275277</v>
      </c>
      <c r="AP397">
        <v>178</v>
      </c>
    </row>
    <row r="398" spans="1:42" x14ac:dyDescent="0.35">
      <c r="A398">
        <v>97070</v>
      </c>
      <c r="B398">
        <v>8619</v>
      </c>
      <c r="C398">
        <v>950099</v>
      </c>
      <c r="D398">
        <v>468</v>
      </c>
      <c r="E398" s="147">
        <v>44207</v>
      </c>
      <c r="F398" t="s">
        <v>508</v>
      </c>
      <c r="G398" t="s">
        <v>91</v>
      </c>
      <c r="H398" s="147">
        <v>44207</v>
      </c>
      <c r="I398">
        <v>7</v>
      </c>
      <c r="J398" t="s">
        <v>195</v>
      </c>
      <c r="L398">
        <v>0</v>
      </c>
      <c r="M398">
        <v>0</v>
      </c>
      <c r="U398">
        <v>572</v>
      </c>
      <c r="V398">
        <v>501</v>
      </c>
      <c r="W398">
        <v>0</v>
      </c>
      <c r="X398">
        <v>0</v>
      </c>
      <c r="Y398">
        <v>44</v>
      </c>
      <c r="Z398">
        <v>36</v>
      </c>
      <c r="AA398">
        <v>0</v>
      </c>
      <c r="AB398">
        <v>0</v>
      </c>
      <c r="AC398">
        <v>0</v>
      </c>
      <c r="AD398">
        <v>0</v>
      </c>
      <c r="AG398" t="s">
        <v>1</v>
      </c>
      <c r="AH398" t="s">
        <v>435</v>
      </c>
      <c r="AI398">
        <v>233</v>
      </c>
      <c r="AJ398">
        <v>76</v>
      </c>
      <c r="AK398">
        <v>86</v>
      </c>
      <c r="AL398">
        <v>2</v>
      </c>
      <c r="AM398">
        <v>1</v>
      </c>
      <c r="AN398" t="s">
        <v>49</v>
      </c>
      <c r="AO398">
        <v>0.87587412587412583</v>
      </c>
      <c r="AP398">
        <v>133</v>
      </c>
    </row>
    <row r="399" spans="1:42" x14ac:dyDescent="0.35">
      <c r="A399">
        <v>97109</v>
      </c>
      <c r="B399">
        <v>8619</v>
      </c>
      <c r="C399">
        <v>950138</v>
      </c>
      <c r="D399">
        <v>511</v>
      </c>
      <c r="E399" s="147">
        <v>44207</v>
      </c>
      <c r="F399" t="s">
        <v>506</v>
      </c>
      <c r="G399" t="s">
        <v>81</v>
      </c>
      <c r="H399" s="147">
        <v>44207</v>
      </c>
      <c r="I399">
        <v>7</v>
      </c>
      <c r="J399" t="s">
        <v>195</v>
      </c>
      <c r="L399">
        <v>0</v>
      </c>
      <c r="M399">
        <v>0</v>
      </c>
      <c r="U399">
        <v>848</v>
      </c>
      <c r="V399">
        <v>638</v>
      </c>
      <c r="W399">
        <v>0</v>
      </c>
      <c r="X399">
        <v>0</v>
      </c>
      <c r="Y399">
        <v>26</v>
      </c>
      <c r="Z399">
        <v>19</v>
      </c>
      <c r="AA399">
        <v>0</v>
      </c>
      <c r="AB399">
        <v>0</v>
      </c>
      <c r="AC399">
        <v>0</v>
      </c>
      <c r="AD399">
        <v>0</v>
      </c>
      <c r="AG399" t="s">
        <v>258</v>
      </c>
      <c r="AH399" t="s">
        <v>435</v>
      </c>
      <c r="AI399">
        <v>279</v>
      </c>
      <c r="AJ399">
        <v>93</v>
      </c>
      <c r="AK399">
        <v>115</v>
      </c>
      <c r="AL399">
        <v>7</v>
      </c>
      <c r="AM399">
        <v>10</v>
      </c>
      <c r="AN399" t="s">
        <v>49</v>
      </c>
      <c r="AO399">
        <v>0.75235849056603776</v>
      </c>
      <c r="AP399">
        <v>149</v>
      </c>
    </row>
    <row r="400" spans="1:42" x14ac:dyDescent="0.35">
      <c r="A400">
        <v>97116</v>
      </c>
      <c r="B400">
        <v>8619</v>
      </c>
      <c r="C400">
        <v>950145</v>
      </c>
      <c r="D400">
        <v>411</v>
      </c>
      <c r="E400" s="147">
        <v>44207</v>
      </c>
      <c r="F400" t="s">
        <v>504</v>
      </c>
      <c r="G400" t="s">
        <v>289</v>
      </c>
      <c r="H400" s="147">
        <v>44207</v>
      </c>
      <c r="I400">
        <v>7</v>
      </c>
      <c r="J400" t="s">
        <v>195</v>
      </c>
      <c r="L400">
        <v>0</v>
      </c>
      <c r="M400">
        <v>0</v>
      </c>
      <c r="U400">
        <v>578</v>
      </c>
      <c r="V400">
        <v>481</v>
      </c>
      <c r="W400">
        <v>0</v>
      </c>
      <c r="X400">
        <v>0</v>
      </c>
      <c r="Y400">
        <v>24</v>
      </c>
      <c r="Z400">
        <v>19</v>
      </c>
      <c r="AA400">
        <v>0</v>
      </c>
      <c r="AB400">
        <v>0</v>
      </c>
      <c r="AC400">
        <v>0</v>
      </c>
      <c r="AD400">
        <v>0</v>
      </c>
      <c r="AG400" t="s">
        <v>258</v>
      </c>
      <c r="AH400" t="s">
        <v>435</v>
      </c>
      <c r="AI400">
        <v>203</v>
      </c>
      <c r="AJ400">
        <v>62</v>
      </c>
      <c r="AK400">
        <v>73</v>
      </c>
      <c r="AL400">
        <v>5</v>
      </c>
      <c r="AM400">
        <v>4</v>
      </c>
      <c r="AN400" t="s">
        <v>49</v>
      </c>
      <c r="AO400">
        <v>0.83217993079584773</v>
      </c>
      <c r="AP400">
        <v>99</v>
      </c>
    </row>
    <row r="401" spans="1:42" x14ac:dyDescent="0.35">
      <c r="A401">
        <v>97131</v>
      </c>
      <c r="B401">
        <v>8619</v>
      </c>
      <c r="C401">
        <v>950160</v>
      </c>
      <c r="D401">
        <v>383</v>
      </c>
      <c r="E401" s="147">
        <v>44207</v>
      </c>
      <c r="F401" t="s">
        <v>500</v>
      </c>
      <c r="G401" t="s">
        <v>87</v>
      </c>
      <c r="H401" s="147">
        <v>44207</v>
      </c>
      <c r="I401">
        <v>7</v>
      </c>
      <c r="J401" t="s">
        <v>195</v>
      </c>
      <c r="L401">
        <v>0</v>
      </c>
      <c r="M401">
        <v>0</v>
      </c>
      <c r="U401">
        <v>282</v>
      </c>
      <c r="V401">
        <v>270</v>
      </c>
      <c r="W401">
        <v>0</v>
      </c>
      <c r="X401">
        <v>0</v>
      </c>
      <c r="Y401">
        <v>9</v>
      </c>
      <c r="Z401">
        <v>6</v>
      </c>
      <c r="AA401">
        <v>0</v>
      </c>
      <c r="AB401">
        <v>0</v>
      </c>
      <c r="AC401">
        <v>0</v>
      </c>
      <c r="AD401">
        <v>0</v>
      </c>
      <c r="AG401" t="s">
        <v>255</v>
      </c>
      <c r="AH401" t="s">
        <v>435</v>
      </c>
      <c r="AI401">
        <v>130</v>
      </c>
      <c r="AJ401">
        <v>55</v>
      </c>
      <c r="AK401">
        <v>45</v>
      </c>
      <c r="AL401">
        <v>0</v>
      </c>
      <c r="AM401">
        <v>1</v>
      </c>
      <c r="AN401" t="s">
        <v>49</v>
      </c>
      <c r="AO401">
        <v>0.95744680851063835</v>
      </c>
      <c r="AP401">
        <v>91</v>
      </c>
    </row>
    <row r="402" spans="1:42" x14ac:dyDescent="0.35">
      <c r="A402">
        <v>97138</v>
      </c>
      <c r="B402">
        <v>8619</v>
      </c>
      <c r="C402">
        <v>950167</v>
      </c>
      <c r="D402">
        <v>401</v>
      </c>
      <c r="E402" s="147">
        <v>44207</v>
      </c>
      <c r="F402" t="s">
        <v>505</v>
      </c>
      <c r="G402" t="s">
        <v>133</v>
      </c>
      <c r="H402" s="147">
        <v>44207</v>
      </c>
      <c r="I402">
        <v>7</v>
      </c>
      <c r="J402" t="s">
        <v>195</v>
      </c>
      <c r="L402">
        <v>0</v>
      </c>
      <c r="M402">
        <v>0</v>
      </c>
      <c r="U402">
        <v>715</v>
      </c>
      <c r="V402">
        <v>633</v>
      </c>
      <c r="W402">
        <v>0</v>
      </c>
      <c r="X402">
        <v>0</v>
      </c>
      <c r="Y402">
        <v>40</v>
      </c>
      <c r="Z402">
        <v>32</v>
      </c>
      <c r="AA402">
        <v>0</v>
      </c>
      <c r="AB402">
        <v>0</v>
      </c>
      <c r="AC402">
        <v>0</v>
      </c>
      <c r="AD402">
        <v>0</v>
      </c>
      <c r="AG402" t="s">
        <v>255</v>
      </c>
      <c r="AH402" t="s">
        <v>435</v>
      </c>
      <c r="AI402">
        <v>358</v>
      </c>
      <c r="AJ402">
        <v>189</v>
      </c>
      <c r="AK402">
        <v>70</v>
      </c>
      <c r="AL402">
        <v>3</v>
      </c>
      <c r="AM402">
        <v>3</v>
      </c>
      <c r="AN402" t="s">
        <v>49</v>
      </c>
      <c r="AO402">
        <v>0.88531468531468527</v>
      </c>
      <c r="AP402">
        <v>250</v>
      </c>
    </row>
    <row r="403" spans="1:42" x14ac:dyDescent="0.35">
      <c r="A403">
        <v>97140</v>
      </c>
      <c r="B403">
        <v>8619</v>
      </c>
      <c r="C403">
        <v>950169</v>
      </c>
      <c r="D403">
        <v>322</v>
      </c>
      <c r="E403" s="147">
        <v>44207</v>
      </c>
      <c r="F403" t="s">
        <v>498</v>
      </c>
      <c r="G403" t="s">
        <v>144</v>
      </c>
      <c r="H403" s="147">
        <v>44207</v>
      </c>
      <c r="I403">
        <v>7</v>
      </c>
      <c r="J403" t="s">
        <v>195</v>
      </c>
      <c r="L403">
        <v>0</v>
      </c>
      <c r="M403">
        <v>0</v>
      </c>
      <c r="U403">
        <v>706</v>
      </c>
      <c r="V403">
        <v>675</v>
      </c>
      <c r="W403">
        <v>0</v>
      </c>
      <c r="X403">
        <v>0</v>
      </c>
      <c r="Y403">
        <v>14</v>
      </c>
      <c r="Z403">
        <v>13</v>
      </c>
      <c r="AA403">
        <v>0</v>
      </c>
      <c r="AB403">
        <v>0</v>
      </c>
      <c r="AC403">
        <v>0</v>
      </c>
      <c r="AD403">
        <v>0</v>
      </c>
      <c r="AG403" t="s">
        <v>255</v>
      </c>
      <c r="AH403" t="s">
        <v>435</v>
      </c>
      <c r="AI403">
        <v>307</v>
      </c>
      <c r="AJ403">
        <v>90</v>
      </c>
      <c r="AK403">
        <v>91</v>
      </c>
      <c r="AL403">
        <v>4</v>
      </c>
      <c r="AM403">
        <v>7</v>
      </c>
      <c r="AN403" t="s">
        <v>49</v>
      </c>
      <c r="AO403">
        <v>0.9560906515580736</v>
      </c>
      <c r="AP403">
        <v>171</v>
      </c>
    </row>
    <row r="404" spans="1:42" x14ac:dyDescent="0.35">
      <c r="A404">
        <v>97197</v>
      </c>
      <c r="B404">
        <v>8619</v>
      </c>
      <c r="C404">
        <v>950226</v>
      </c>
      <c r="D404">
        <v>468</v>
      </c>
      <c r="E404" s="147">
        <v>44207</v>
      </c>
      <c r="F404" t="s">
        <v>508</v>
      </c>
      <c r="G404" t="s">
        <v>91</v>
      </c>
      <c r="H404" s="147">
        <v>44208</v>
      </c>
      <c r="I404">
        <v>7</v>
      </c>
      <c r="J404" t="s">
        <v>199</v>
      </c>
      <c r="L404">
        <v>0</v>
      </c>
      <c r="M404">
        <v>0</v>
      </c>
      <c r="U404">
        <v>572</v>
      </c>
      <c r="V404">
        <v>500</v>
      </c>
      <c r="W404">
        <v>0</v>
      </c>
      <c r="X404">
        <v>0</v>
      </c>
      <c r="Y404">
        <v>44</v>
      </c>
      <c r="Z404">
        <v>35</v>
      </c>
      <c r="AA404">
        <v>0</v>
      </c>
      <c r="AB404">
        <v>0</v>
      </c>
      <c r="AC404">
        <v>0</v>
      </c>
      <c r="AD404">
        <v>0</v>
      </c>
      <c r="AG404" t="s">
        <v>1</v>
      </c>
      <c r="AH404" t="s">
        <v>435</v>
      </c>
      <c r="AI404">
        <v>237</v>
      </c>
      <c r="AJ404">
        <v>76</v>
      </c>
      <c r="AK404">
        <v>83</v>
      </c>
      <c r="AL404">
        <v>7</v>
      </c>
      <c r="AM404">
        <v>5</v>
      </c>
      <c r="AN404" t="s">
        <v>49</v>
      </c>
      <c r="AO404">
        <v>0.87412587412587417</v>
      </c>
      <c r="AP404">
        <v>124</v>
      </c>
    </row>
    <row r="405" spans="1:42" x14ac:dyDescent="0.35">
      <c r="A405">
        <v>97236</v>
      </c>
      <c r="B405">
        <v>8619</v>
      </c>
      <c r="C405">
        <v>950265</v>
      </c>
      <c r="D405">
        <v>511</v>
      </c>
      <c r="E405" s="147">
        <v>44207</v>
      </c>
      <c r="F405" t="s">
        <v>506</v>
      </c>
      <c r="G405" t="s">
        <v>81</v>
      </c>
      <c r="H405" s="147">
        <v>44208</v>
      </c>
      <c r="I405">
        <v>7</v>
      </c>
      <c r="J405" t="s">
        <v>199</v>
      </c>
      <c r="L405">
        <v>0</v>
      </c>
      <c r="M405">
        <v>0</v>
      </c>
      <c r="U405">
        <v>875</v>
      </c>
      <c r="V405">
        <v>656</v>
      </c>
      <c r="W405">
        <v>0</v>
      </c>
      <c r="X405">
        <v>0</v>
      </c>
      <c r="Y405">
        <v>26</v>
      </c>
      <c r="Z405">
        <v>20</v>
      </c>
      <c r="AA405">
        <v>0</v>
      </c>
      <c r="AB405">
        <v>0</v>
      </c>
      <c r="AC405">
        <v>0</v>
      </c>
      <c r="AD405">
        <v>0</v>
      </c>
      <c r="AG405" t="s">
        <v>258</v>
      </c>
      <c r="AH405" t="s">
        <v>435</v>
      </c>
      <c r="AI405">
        <v>298</v>
      </c>
      <c r="AJ405">
        <v>99</v>
      </c>
      <c r="AK405">
        <v>111</v>
      </c>
      <c r="AL405">
        <v>7</v>
      </c>
      <c r="AM405">
        <v>3</v>
      </c>
      <c r="AN405" t="s">
        <v>49</v>
      </c>
      <c r="AO405">
        <v>0.74971428571428567</v>
      </c>
      <c r="AP405">
        <v>162</v>
      </c>
    </row>
    <row r="406" spans="1:42" x14ac:dyDescent="0.35">
      <c r="A406">
        <v>97258</v>
      </c>
      <c r="B406">
        <v>8619</v>
      </c>
      <c r="C406">
        <v>950287</v>
      </c>
      <c r="D406">
        <v>383</v>
      </c>
      <c r="E406" s="147">
        <v>44207</v>
      </c>
      <c r="F406" t="s">
        <v>500</v>
      </c>
      <c r="G406" t="s">
        <v>87</v>
      </c>
      <c r="H406" s="147">
        <v>44208</v>
      </c>
      <c r="I406">
        <v>7</v>
      </c>
      <c r="J406" t="s">
        <v>199</v>
      </c>
      <c r="L406">
        <v>0</v>
      </c>
      <c r="M406">
        <v>0</v>
      </c>
      <c r="U406">
        <v>299</v>
      </c>
      <c r="V406">
        <v>287</v>
      </c>
      <c r="W406">
        <v>0</v>
      </c>
      <c r="X406">
        <v>0</v>
      </c>
      <c r="Y406">
        <v>9</v>
      </c>
      <c r="Z406">
        <v>6</v>
      </c>
      <c r="AA406">
        <v>0</v>
      </c>
      <c r="AB406">
        <v>0</v>
      </c>
      <c r="AC406">
        <v>0</v>
      </c>
      <c r="AD406">
        <v>0</v>
      </c>
      <c r="AG406" t="s">
        <v>255</v>
      </c>
      <c r="AH406" t="s">
        <v>435</v>
      </c>
      <c r="AI406">
        <v>124</v>
      </c>
      <c r="AJ406">
        <v>55</v>
      </c>
      <c r="AK406">
        <v>31</v>
      </c>
      <c r="AL406">
        <v>2</v>
      </c>
      <c r="AM406">
        <v>1</v>
      </c>
      <c r="AN406" t="s">
        <v>49</v>
      </c>
      <c r="AO406">
        <v>0.95986622073578598</v>
      </c>
      <c r="AP406">
        <v>88</v>
      </c>
    </row>
    <row r="407" spans="1:42" x14ac:dyDescent="0.35">
      <c r="A407">
        <v>97261</v>
      </c>
      <c r="B407">
        <v>8619</v>
      </c>
      <c r="C407">
        <v>950290</v>
      </c>
      <c r="D407">
        <v>349</v>
      </c>
      <c r="E407" s="147">
        <v>44207</v>
      </c>
      <c r="F407" t="s">
        <v>502</v>
      </c>
      <c r="G407" t="s">
        <v>261</v>
      </c>
      <c r="H407" s="147">
        <v>44208</v>
      </c>
      <c r="I407">
        <v>7</v>
      </c>
      <c r="J407" t="s">
        <v>199</v>
      </c>
      <c r="L407">
        <v>0</v>
      </c>
      <c r="M407">
        <v>0</v>
      </c>
      <c r="U407">
        <v>1582</v>
      </c>
      <c r="V407">
        <v>1423</v>
      </c>
      <c r="W407">
        <v>0</v>
      </c>
      <c r="X407">
        <v>0</v>
      </c>
      <c r="Y407">
        <v>60</v>
      </c>
      <c r="Z407">
        <v>49</v>
      </c>
      <c r="AA407">
        <v>0</v>
      </c>
      <c r="AB407">
        <v>0</v>
      </c>
      <c r="AC407">
        <v>0</v>
      </c>
      <c r="AD407">
        <v>0</v>
      </c>
      <c r="AG407" t="s">
        <v>255</v>
      </c>
      <c r="AH407" t="s">
        <v>435</v>
      </c>
      <c r="AI407">
        <v>754</v>
      </c>
      <c r="AJ407">
        <v>313</v>
      </c>
      <c r="AK407">
        <v>179</v>
      </c>
      <c r="AL407">
        <v>9</v>
      </c>
      <c r="AM407">
        <v>2</v>
      </c>
      <c r="AN407" t="s">
        <v>49</v>
      </c>
      <c r="AO407">
        <v>0.89949431099873578</v>
      </c>
      <c r="AP407">
        <v>492</v>
      </c>
    </row>
    <row r="408" spans="1:42" x14ac:dyDescent="0.35">
      <c r="A408">
        <v>97267</v>
      </c>
      <c r="B408">
        <v>8619</v>
      </c>
      <c r="C408">
        <v>950296</v>
      </c>
      <c r="D408">
        <v>322</v>
      </c>
      <c r="E408" s="147">
        <v>44207</v>
      </c>
      <c r="F408" t="s">
        <v>498</v>
      </c>
      <c r="G408" t="s">
        <v>144</v>
      </c>
      <c r="H408" s="147">
        <v>44208</v>
      </c>
      <c r="I408">
        <v>7</v>
      </c>
      <c r="J408" t="s">
        <v>199</v>
      </c>
      <c r="L408">
        <v>0</v>
      </c>
      <c r="M408">
        <v>0</v>
      </c>
      <c r="U408">
        <v>713</v>
      </c>
      <c r="V408">
        <v>674</v>
      </c>
      <c r="W408">
        <v>0</v>
      </c>
      <c r="X408">
        <v>0</v>
      </c>
      <c r="Y408">
        <v>14</v>
      </c>
      <c r="Z408">
        <v>14</v>
      </c>
      <c r="AA408">
        <v>0</v>
      </c>
      <c r="AB408">
        <v>0</v>
      </c>
      <c r="AC408">
        <v>0</v>
      </c>
      <c r="AD408">
        <v>0</v>
      </c>
      <c r="AG408" t="s">
        <v>255</v>
      </c>
      <c r="AH408" t="s">
        <v>435</v>
      </c>
      <c r="AI408">
        <v>327</v>
      </c>
      <c r="AJ408">
        <v>88</v>
      </c>
      <c r="AK408">
        <v>90</v>
      </c>
      <c r="AL408">
        <v>10</v>
      </c>
      <c r="AM408">
        <v>2</v>
      </c>
      <c r="AN408" t="s">
        <v>49</v>
      </c>
      <c r="AO408">
        <v>0.94530154277699863</v>
      </c>
      <c r="AP408">
        <v>183</v>
      </c>
    </row>
    <row r="409" spans="1:42" x14ac:dyDescent="0.35">
      <c r="A409">
        <v>97282</v>
      </c>
      <c r="B409">
        <v>8619</v>
      </c>
      <c r="C409">
        <v>950311</v>
      </c>
      <c r="D409">
        <v>300</v>
      </c>
      <c r="E409" s="147">
        <v>44207</v>
      </c>
      <c r="F409" t="s">
        <v>491</v>
      </c>
      <c r="G409" t="s">
        <v>102</v>
      </c>
      <c r="H409" s="147">
        <v>44208</v>
      </c>
      <c r="I409">
        <v>7</v>
      </c>
      <c r="J409" t="s">
        <v>199</v>
      </c>
      <c r="L409">
        <v>0</v>
      </c>
      <c r="M409">
        <v>0</v>
      </c>
      <c r="U409">
        <v>230</v>
      </c>
      <c r="V409">
        <v>201</v>
      </c>
      <c r="W409">
        <v>0</v>
      </c>
      <c r="X409">
        <v>0</v>
      </c>
      <c r="Y409">
        <v>15</v>
      </c>
      <c r="Z409">
        <v>13</v>
      </c>
      <c r="AA409">
        <v>0</v>
      </c>
      <c r="AB409">
        <v>0</v>
      </c>
      <c r="AC409">
        <v>0</v>
      </c>
      <c r="AD409">
        <v>0</v>
      </c>
      <c r="AG409" t="s">
        <v>223</v>
      </c>
      <c r="AH409" t="s">
        <v>435</v>
      </c>
      <c r="AI409">
        <v>84</v>
      </c>
      <c r="AJ409">
        <v>13</v>
      </c>
      <c r="AK409">
        <v>37</v>
      </c>
      <c r="AL409">
        <v>0</v>
      </c>
      <c r="AM409">
        <v>1</v>
      </c>
      <c r="AN409" t="s">
        <v>49</v>
      </c>
      <c r="AO409">
        <v>0.87391304347826082</v>
      </c>
      <c r="AP409">
        <v>37</v>
      </c>
    </row>
    <row r="410" spans="1:42" x14ac:dyDescent="0.35">
      <c r="A410">
        <v>97324</v>
      </c>
      <c r="B410">
        <v>8619</v>
      </c>
      <c r="C410">
        <v>950353</v>
      </c>
      <c r="D410">
        <v>468</v>
      </c>
      <c r="E410" s="147">
        <v>44207</v>
      </c>
      <c r="F410" t="s">
        <v>508</v>
      </c>
      <c r="G410" t="s">
        <v>91</v>
      </c>
      <c r="H410" s="147">
        <v>44209</v>
      </c>
      <c r="I410">
        <v>7</v>
      </c>
      <c r="J410" t="s">
        <v>200</v>
      </c>
      <c r="L410">
        <v>0</v>
      </c>
      <c r="M410">
        <v>0</v>
      </c>
      <c r="U410">
        <v>572</v>
      </c>
      <c r="V410">
        <v>479</v>
      </c>
      <c r="W410">
        <v>0</v>
      </c>
      <c r="X410">
        <v>0</v>
      </c>
      <c r="Y410">
        <v>44</v>
      </c>
      <c r="Z410">
        <v>40</v>
      </c>
      <c r="AA410">
        <v>0</v>
      </c>
      <c r="AB410">
        <v>0</v>
      </c>
      <c r="AC410">
        <v>0</v>
      </c>
      <c r="AD410">
        <v>0</v>
      </c>
      <c r="AG410" t="s">
        <v>1</v>
      </c>
      <c r="AH410" t="s">
        <v>435</v>
      </c>
      <c r="AI410">
        <v>225</v>
      </c>
      <c r="AJ410">
        <v>72</v>
      </c>
      <c r="AK410">
        <v>88</v>
      </c>
      <c r="AL410">
        <v>1</v>
      </c>
      <c r="AM410">
        <v>1</v>
      </c>
      <c r="AN410" t="s">
        <v>49</v>
      </c>
      <c r="AO410">
        <v>0.83741258741258739</v>
      </c>
      <c r="AP410">
        <v>109</v>
      </c>
    </row>
    <row r="411" spans="1:42" x14ac:dyDescent="0.35">
      <c r="A411">
        <v>97392</v>
      </c>
      <c r="B411">
        <v>8619</v>
      </c>
      <c r="C411">
        <v>950421</v>
      </c>
      <c r="D411">
        <v>401</v>
      </c>
      <c r="E411" s="147">
        <v>44207</v>
      </c>
      <c r="F411" t="s">
        <v>505</v>
      </c>
      <c r="G411" t="s">
        <v>133</v>
      </c>
      <c r="H411" s="147">
        <v>44209</v>
      </c>
      <c r="I411">
        <v>7</v>
      </c>
      <c r="J411" t="s">
        <v>200</v>
      </c>
      <c r="L411">
        <v>0</v>
      </c>
      <c r="M411">
        <v>0</v>
      </c>
      <c r="U411">
        <v>710</v>
      </c>
      <c r="V411">
        <v>610</v>
      </c>
      <c r="W411">
        <v>0</v>
      </c>
      <c r="X411">
        <v>0</v>
      </c>
      <c r="Y411">
        <v>40</v>
      </c>
      <c r="Z411">
        <v>37</v>
      </c>
      <c r="AA411">
        <v>0</v>
      </c>
      <c r="AB411">
        <v>0</v>
      </c>
      <c r="AC411">
        <v>0</v>
      </c>
      <c r="AD411">
        <v>0</v>
      </c>
      <c r="AG411" t="s">
        <v>255</v>
      </c>
      <c r="AH411" t="s">
        <v>435</v>
      </c>
      <c r="AI411">
        <v>339</v>
      </c>
      <c r="AJ411">
        <v>184</v>
      </c>
      <c r="AK411">
        <v>72</v>
      </c>
      <c r="AL411">
        <v>14</v>
      </c>
      <c r="AM411">
        <v>2</v>
      </c>
      <c r="AN411" t="s">
        <v>49</v>
      </c>
      <c r="AO411">
        <v>0.85915492957746475</v>
      </c>
      <c r="AP411">
        <v>240</v>
      </c>
    </row>
    <row r="412" spans="1:42" x14ac:dyDescent="0.35">
      <c r="A412">
        <v>97394</v>
      </c>
      <c r="B412">
        <v>8619</v>
      </c>
      <c r="C412">
        <v>950423</v>
      </c>
      <c r="D412">
        <v>322</v>
      </c>
      <c r="E412" s="147">
        <v>44207</v>
      </c>
      <c r="F412" t="s">
        <v>498</v>
      </c>
      <c r="G412" t="s">
        <v>144</v>
      </c>
      <c r="H412" s="147">
        <v>44209</v>
      </c>
      <c r="I412">
        <v>7</v>
      </c>
      <c r="J412" t="s">
        <v>200</v>
      </c>
      <c r="L412">
        <v>0</v>
      </c>
      <c r="M412">
        <v>0</v>
      </c>
      <c r="U412">
        <v>683</v>
      </c>
      <c r="V412">
        <v>629</v>
      </c>
      <c r="W412">
        <v>0</v>
      </c>
      <c r="X412">
        <v>0</v>
      </c>
      <c r="Y412">
        <v>16</v>
      </c>
      <c r="Z412">
        <v>16</v>
      </c>
      <c r="AA412">
        <v>0</v>
      </c>
      <c r="AB412">
        <v>0</v>
      </c>
      <c r="AC412">
        <v>0</v>
      </c>
      <c r="AD412">
        <v>0</v>
      </c>
      <c r="AG412" t="s">
        <v>255</v>
      </c>
      <c r="AH412" t="s">
        <v>435</v>
      </c>
      <c r="AI412">
        <v>318</v>
      </c>
      <c r="AJ412">
        <v>87</v>
      </c>
      <c r="AK412">
        <v>103</v>
      </c>
      <c r="AL412">
        <v>10</v>
      </c>
      <c r="AM412">
        <v>1</v>
      </c>
      <c r="AN412" t="s">
        <v>49</v>
      </c>
      <c r="AO412">
        <v>0.92093704245973651</v>
      </c>
      <c r="AP412">
        <v>178</v>
      </c>
    </row>
    <row r="413" spans="1:42" x14ac:dyDescent="0.35">
      <c r="A413">
        <v>97404</v>
      </c>
      <c r="B413">
        <v>8619</v>
      </c>
      <c r="C413">
        <v>950433</v>
      </c>
      <c r="D413">
        <v>407</v>
      </c>
      <c r="E413" s="147">
        <v>44207</v>
      </c>
      <c r="F413" t="s">
        <v>499</v>
      </c>
      <c r="G413" t="s">
        <v>83</v>
      </c>
      <c r="H413" s="147">
        <v>44209</v>
      </c>
      <c r="I413">
        <v>7</v>
      </c>
      <c r="J413" t="s">
        <v>200</v>
      </c>
      <c r="L413">
        <v>0</v>
      </c>
      <c r="M413">
        <v>0</v>
      </c>
      <c r="U413">
        <v>490</v>
      </c>
      <c r="V413">
        <v>436</v>
      </c>
      <c r="W413">
        <v>0</v>
      </c>
      <c r="X413">
        <v>0</v>
      </c>
      <c r="Y413">
        <v>17</v>
      </c>
      <c r="Z413">
        <v>17</v>
      </c>
      <c r="AA413">
        <v>0</v>
      </c>
      <c r="AB413">
        <v>0</v>
      </c>
      <c r="AC413">
        <v>0</v>
      </c>
      <c r="AD413">
        <v>0</v>
      </c>
      <c r="AG413" t="s">
        <v>223</v>
      </c>
      <c r="AH413" t="s">
        <v>435</v>
      </c>
      <c r="AI413">
        <v>242</v>
      </c>
      <c r="AJ413">
        <v>72</v>
      </c>
      <c r="AK413">
        <v>77</v>
      </c>
      <c r="AL413">
        <v>5</v>
      </c>
      <c r="AM413">
        <v>1</v>
      </c>
      <c r="AN413" t="s">
        <v>49</v>
      </c>
      <c r="AO413">
        <v>0.88979591836734695</v>
      </c>
      <c r="AP413">
        <v>124</v>
      </c>
    </row>
    <row r="414" spans="1:42" x14ac:dyDescent="0.35">
      <c r="A414">
        <v>97451</v>
      </c>
      <c r="B414">
        <v>8619</v>
      </c>
      <c r="C414">
        <v>950480</v>
      </c>
      <c r="D414">
        <v>468</v>
      </c>
      <c r="E414" s="147">
        <v>44207</v>
      </c>
      <c r="F414" t="s">
        <v>508</v>
      </c>
      <c r="G414" t="s">
        <v>91</v>
      </c>
      <c r="H414" s="147">
        <v>44210</v>
      </c>
      <c r="I414">
        <v>7</v>
      </c>
      <c r="J414" t="s">
        <v>198</v>
      </c>
      <c r="L414">
        <v>0</v>
      </c>
      <c r="M414">
        <v>0</v>
      </c>
      <c r="U414">
        <v>572</v>
      </c>
      <c r="V414">
        <v>463</v>
      </c>
      <c r="W414">
        <v>0</v>
      </c>
      <c r="X414">
        <v>0</v>
      </c>
      <c r="Y414">
        <v>44</v>
      </c>
      <c r="Z414">
        <v>39</v>
      </c>
      <c r="AA414">
        <v>0</v>
      </c>
      <c r="AB414">
        <v>0</v>
      </c>
      <c r="AC414">
        <v>0</v>
      </c>
      <c r="AD414">
        <v>0</v>
      </c>
      <c r="AG414" t="s">
        <v>1</v>
      </c>
      <c r="AH414" t="s">
        <v>435</v>
      </c>
      <c r="AI414">
        <v>222</v>
      </c>
      <c r="AJ414">
        <v>70</v>
      </c>
      <c r="AK414">
        <v>100</v>
      </c>
      <c r="AL414">
        <v>7</v>
      </c>
      <c r="AM414">
        <v>3</v>
      </c>
      <c r="AN414" t="s">
        <v>49</v>
      </c>
      <c r="AO414">
        <v>0.80944055944055948</v>
      </c>
      <c r="AP414">
        <v>103</v>
      </c>
    </row>
    <row r="415" spans="1:42" x14ac:dyDescent="0.35">
      <c r="A415">
        <v>97497</v>
      </c>
      <c r="B415">
        <v>8619</v>
      </c>
      <c r="C415">
        <v>950526</v>
      </c>
      <c r="D415">
        <v>411</v>
      </c>
      <c r="E415" s="147">
        <v>44207</v>
      </c>
      <c r="F415" t="s">
        <v>504</v>
      </c>
      <c r="G415" t="s">
        <v>289</v>
      </c>
      <c r="H415" s="147">
        <v>44210</v>
      </c>
      <c r="I415">
        <v>7</v>
      </c>
      <c r="J415" t="s">
        <v>198</v>
      </c>
      <c r="L415">
        <v>0</v>
      </c>
      <c r="M415">
        <v>0</v>
      </c>
      <c r="U415">
        <v>537</v>
      </c>
      <c r="V415">
        <v>412</v>
      </c>
      <c r="W415">
        <v>0</v>
      </c>
      <c r="X415">
        <v>0</v>
      </c>
      <c r="Y415">
        <v>24</v>
      </c>
      <c r="Z415">
        <v>18</v>
      </c>
      <c r="AA415">
        <v>0</v>
      </c>
      <c r="AB415">
        <v>0</v>
      </c>
      <c r="AC415">
        <v>0</v>
      </c>
      <c r="AD415">
        <v>0</v>
      </c>
      <c r="AG415" t="s">
        <v>258</v>
      </c>
      <c r="AH415" t="s">
        <v>435</v>
      </c>
      <c r="AI415">
        <v>203</v>
      </c>
      <c r="AJ415">
        <v>53</v>
      </c>
      <c r="AK415">
        <v>89</v>
      </c>
      <c r="AL415">
        <v>4</v>
      </c>
      <c r="AM415">
        <v>3</v>
      </c>
      <c r="AN415" t="s">
        <v>49</v>
      </c>
      <c r="AO415">
        <v>0.76722532588454373</v>
      </c>
      <c r="AP415">
        <v>96</v>
      </c>
    </row>
    <row r="416" spans="1:42" x14ac:dyDescent="0.35">
      <c r="A416">
        <v>97519</v>
      </c>
      <c r="B416">
        <v>8619</v>
      </c>
      <c r="C416">
        <v>950548</v>
      </c>
      <c r="D416">
        <v>401</v>
      </c>
      <c r="E416" s="147">
        <v>44207</v>
      </c>
      <c r="F416" t="s">
        <v>505</v>
      </c>
      <c r="G416" t="s">
        <v>133</v>
      </c>
      <c r="H416" s="147">
        <v>44210</v>
      </c>
      <c r="I416">
        <v>7</v>
      </c>
      <c r="J416" t="s">
        <v>198</v>
      </c>
      <c r="L416">
        <v>0</v>
      </c>
      <c r="M416">
        <v>0</v>
      </c>
      <c r="U416">
        <v>696</v>
      </c>
      <c r="V416">
        <v>620</v>
      </c>
      <c r="W416">
        <v>0</v>
      </c>
      <c r="X416">
        <v>0</v>
      </c>
      <c r="Y416">
        <v>40</v>
      </c>
      <c r="Z416">
        <v>38</v>
      </c>
      <c r="AA416">
        <v>0</v>
      </c>
      <c r="AB416">
        <v>0</v>
      </c>
      <c r="AC416">
        <v>0</v>
      </c>
      <c r="AD416">
        <v>0</v>
      </c>
      <c r="AG416" t="s">
        <v>255</v>
      </c>
      <c r="AH416" t="s">
        <v>435</v>
      </c>
      <c r="AI416">
        <v>316</v>
      </c>
      <c r="AJ416">
        <v>178</v>
      </c>
      <c r="AK416">
        <v>88</v>
      </c>
      <c r="AL416">
        <v>6</v>
      </c>
      <c r="AM416">
        <v>1</v>
      </c>
      <c r="AN416" t="s">
        <v>49</v>
      </c>
      <c r="AO416">
        <v>0.89080459770114939</v>
      </c>
      <c r="AP416">
        <v>232</v>
      </c>
    </row>
    <row r="417" spans="1:42" x14ac:dyDescent="0.35">
      <c r="A417">
        <v>97578</v>
      </c>
      <c r="B417">
        <v>8619</v>
      </c>
      <c r="C417">
        <v>950607</v>
      </c>
      <c r="D417">
        <v>468</v>
      </c>
      <c r="E417" s="147">
        <v>44207</v>
      </c>
      <c r="F417" t="s">
        <v>508</v>
      </c>
      <c r="G417" t="s">
        <v>91</v>
      </c>
      <c r="H417" s="147">
        <v>44211</v>
      </c>
      <c r="I417">
        <v>7</v>
      </c>
      <c r="J417" t="s">
        <v>194</v>
      </c>
      <c r="L417">
        <v>0</v>
      </c>
      <c r="M417">
        <v>0</v>
      </c>
      <c r="U417">
        <v>572</v>
      </c>
      <c r="V417">
        <v>480</v>
      </c>
      <c r="W417">
        <v>0</v>
      </c>
      <c r="X417">
        <v>0</v>
      </c>
      <c r="Y417">
        <v>46</v>
      </c>
      <c r="Z417">
        <v>40</v>
      </c>
      <c r="AA417">
        <v>0</v>
      </c>
      <c r="AB417">
        <v>0</v>
      </c>
      <c r="AC417">
        <v>0</v>
      </c>
      <c r="AD417">
        <v>0</v>
      </c>
      <c r="AG417" t="s">
        <v>1</v>
      </c>
      <c r="AH417" t="s">
        <v>435</v>
      </c>
      <c r="AI417">
        <v>221</v>
      </c>
      <c r="AJ417">
        <v>70</v>
      </c>
      <c r="AK417">
        <v>105</v>
      </c>
      <c r="AL417">
        <v>10</v>
      </c>
      <c r="AM417">
        <v>4</v>
      </c>
      <c r="AN417" t="s">
        <v>49</v>
      </c>
      <c r="AO417">
        <v>0.83916083916083917</v>
      </c>
      <c r="AP417">
        <v>108</v>
      </c>
    </row>
    <row r="418" spans="1:42" x14ac:dyDescent="0.35">
      <c r="A418">
        <v>97611</v>
      </c>
      <c r="B418">
        <v>8619</v>
      </c>
      <c r="C418">
        <v>950640</v>
      </c>
      <c r="D418">
        <v>486</v>
      </c>
      <c r="E418" s="147">
        <v>44207</v>
      </c>
      <c r="F418" t="s">
        <v>503</v>
      </c>
      <c r="G418" t="s">
        <v>169</v>
      </c>
      <c r="H418" s="147">
        <v>44211</v>
      </c>
      <c r="I418">
        <v>7</v>
      </c>
      <c r="J418" t="s">
        <v>194</v>
      </c>
      <c r="L418">
        <v>0</v>
      </c>
      <c r="M418">
        <v>0</v>
      </c>
      <c r="U418">
        <v>767</v>
      </c>
      <c r="V418">
        <v>648</v>
      </c>
      <c r="W418">
        <v>0</v>
      </c>
      <c r="X418">
        <v>0</v>
      </c>
      <c r="Y418">
        <v>31</v>
      </c>
      <c r="Z418">
        <v>27</v>
      </c>
      <c r="AA418">
        <v>0</v>
      </c>
      <c r="AB418">
        <v>0</v>
      </c>
      <c r="AC418">
        <v>0</v>
      </c>
      <c r="AD418">
        <v>0</v>
      </c>
      <c r="AG418" t="s">
        <v>226</v>
      </c>
      <c r="AH418" t="s">
        <v>435</v>
      </c>
      <c r="AI418">
        <v>228</v>
      </c>
      <c r="AJ418">
        <v>45</v>
      </c>
      <c r="AK418">
        <v>148</v>
      </c>
      <c r="AL418">
        <v>9</v>
      </c>
      <c r="AM418">
        <v>1</v>
      </c>
      <c r="AN418" t="s">
        <v>49</v>
      </c>
      <c r="AO418">
        <v>0.84485006518904826</v>
      </c>
      <c r="AP418">
        <v>93</v>
      </c>
    </row>
    <row r="419" spans="1:42" x14ac:dyDescent="0.35">
      <c r="A419">
        <v>97617</v>
      </c>
      <c r="B419">
        <v>8619</v>
      </c>
      <c r="C419">
        <v>950646</v>
      </c>
      <c r="D419">
        <v>511</v>
      </c>
      <c r="E419" s="147">
        <v>44207</v>
      </c>
      <c r="F419" t="s">
        <v>506</v>
      </c>
      <c r="G419" t="s">
        <v>81</v>
      </c>
      <c r="H419" s="147">
        <v>44211</v>
      </c>
      <c r="I419">
        <v>7</v>
      </c>
      <c r="J419" t="s">
        <v>194</v>
      </c>
      <c r="L419">
        <v>0</v>
      </c>
      <c r="M419">
        <v>0</v>
      </c>
      <c r="U419">
        <v>863</v>
      </c>
      <c r="V419">
        <v>663</v>
      </c>
      <c r="W419">
        <v>0</v>
      </c>
      <c r="X419">
        <v>0</v>
      </c>
      <c r="Y419">
        <v>24</v>
      </c>
      <c r="Z419">
        <v>23</v>
      </c>
      <c r="AA419">
        <v>0</v>
      </c>
      <c r="AB419">
        <v>0</v>
      </c>
      <c r="AC419">
        <v>0</v>
      </c>
      <c r="AD419">
        <v>0</v>
      </c>
      <c r="AG419" t="s">
        <v>258</v>
      </c>
      <c r="AH419" t="s">
        <v>435</v>
      </c>
      <c r="AI419">
        <v>282</v>
      </c>
      <c r="AJ419">
        <v>85</v>
      </c>
      <c r="AK419">
        <v>121</v>
      </c>
      <c r="AL419">
        <v>3</v>
      </c>
      <c r="AM419">
        <v>1</v>
      </c>
      <c r="AN419" t="s">
        <v>49</v>
      </c>
      <c r="AO419">
        <v>0.76825028968713793</v>
      </c>
      <c r="AP419">
        <v>146</v>
      </c>
    </row>
    <row r="420" spans="1:42" x14ac:dyDescent="0.35">
      <c r="A420">
        <v>97624</v>
      </c>
      <c r="B420">
        <v>8619</v>
      </c>
      <c r="C420">
        <v>950653</v>
      </c>
      <c r="D420">
        <v>411</v>
      </c>
      <c r="E420" s="147">
        <v>44207</v>
      </c>
      <c r="F420" t="s">
        <v>504</v>
      </c>
      <c r="G420" t="s">
        <v>289</v>
      </c>
      <c r="H420" s="147">
        <v>44211</v>
      </c>
      <c r="I420">
        <v>7</v>
      </c>
      <c r="J420" t="s">
        <v>194</v>
      </c>
      <c r="L420">
        <v>0</v>
      </c>
      <c r="M420">
        <v>0</v>
      </c>
      <c r="U420">
        <v>566</v>
      </c>
      <c r="V420">
        <v>460</v>
      </c>
      <c r="W420">
        <v>0</v>
      </c>
      <c r="X420">
        <v>0</v>
      </c>
      <c r="Y420">
        <v>24</v>
      </c>
      <c r="Z420">
        <v>19</v>
      </c>
      <c r="AA420">
        <v>0</v>
      </c>
      <c r="AB420">
        <v>0</v>
      </c>
      <c r="AC420">
        <v>0</v>
      </c>
      <c r="AD420">
        <v>0</v>
      </c>
      <c r="AG420" t="s">
        <v>258</v>
      </c>
      <c r="AH420" t="s">
        <v>435</v>
      </c>
      <c r="AI420">
        <v>205</v>
      </c>
      <c r="AJ420">
        <v>51</v>
      </c>
      <c r="AK420">
        <v>82</v>
      </c>
      <c r="AL420">
        <v>9</v>
      </c>
      <c r="AM420">
        <v>1</v>
      </c>
      <c r="AN420" t="s">
        <v>49</v>
      </c>
      <c r="AO420">
        <v>0.8127208480565371</v>
      </c>
      <c r="AP420">
        <v>100</v>
      </c>
    </row>
    <row r="421" spans="1:42" x14ac:dyDescent="0.35">
      <c r="A421">
        <v>97658</v>
      </c>
      <c r="B421">
        <v>8619</v>
      </c>
      <c r="C421">
        <v>950687</v>
      </c>
      <c r="D421">
        <v>407</v>
      </c>
      <c r="E421" s="147">
        <v>44207</v>
      </c>
      <c r="F421" t="s">
        <v>499</v>
      </c>
      <c r="G421" t="s">
        <v>83</v>
      </c>
      <c r="H421" s="147">
        <v>44211</v>
      </c>
      <c r="I421">
        <v>7</v>
      </c>
      <c r="J421" t="s">
        <v>194</v>
      </c>
      <c r="L421">
        <v>0</v>
      </c>
      <c r="M421">
        <v>0</v>
      </c>
      <c r="U421">
        <v>503</v>
      </c>
      <c r="V421">
        <v>446</v>
      </c>
      <c r="W421">
        <v>0</v>
      </c>
      <c r="X421">
        <v>0</v>
      </c>
      <c r="Y421">
        <v>18</v>
      </c>
      <c r="Z421">
        <v>18</v>
      </c>
      <c r="AA421">
        <v>0</v>
      </c>
      <c r="AB421">
        <v>0</v>
      </c>
      <c r="AC421">
        <v>0</v>
      </c>
      <c r="AD421">
        <v>0</v>
      </c>
      <c r="AG421" t="s">
        <v>223</v>
      </c>
      <c r="AH421" t="s">
        <v>435</v>
      </c>
      <c r="AI421">
        <v>218</v>
      </c>
      <c r="AJ421">
        <v>63</v>
      </c>
      <c r="AK421">
        <v>70</v>
      </c>
      <c r="AL421">
        <v>4</v>
      </c>
      <c r="AM421">
        <v>1</v>
      </c>
      <c r="AN421" t="s">
        <v>49</v>
      </c>
      <c r="AO421">
        <v>0.88667992047713717</v>
      </c>
      <c r="AP421">
        <v>112</v>
      </c>
    </row>
    <row r="422" spans="1:42" x14ac:dyDescent="0.35">
      <c r="A422">
        <v>97663</v>
      </c>
      <c r="B422">
        <v>8619</v>
      </c>
      <c r="C422">
        <v>950692</v>
      </c>
      <c r="D422">
        <v>300</v>
      </c>
      <c r="E422" s="147">
        <v>44207</v>
      </c>
      <c r="F422" t="s">
        <v>491</v>
      </c>
      <c r="G422" t="s">
        <v>102</v>
      </c>
      <c r="H422" s="147">
        <v>44211</v>
      </c>
      <c r="I422">
        <v>7</v>
      </c>
      <c r="J422" t="s">
        <v>194</v>
      </c>
      <c r="L422">
        <v>0</v>
      </c>
      <c r="M422">
        <v>0</v>
      </c>
      <c r="U422">
        <v>225</v>
      </c>
      <c r="V422">
        <v>218</v>
      </c>
      <c r="W422">
        <v>0</v>
      </c>
      <c r="X422">
        <v>0</v>
      </c>
      <c r="Y422">
        <v>16</v>
      </c>
      <c r="Z422">
        <v>16</v>
      </c>
      <c r="AA422">
        <v>0</v>
      </c>
      <c r="AB422">
        <v>0</v>
      </c>
      <c r="AC422">
        <v>0</v>
      </c>
      <c r="AD422">
        <v>0</v>
      </c>
      <c r="AG422" t="s">
        <v>223</v>
      </c>
      <c r="AH422" t="s">
        <v>435</v>
      </c>
      <c r="AI422">
        <v>93</v>
      </c>
      <c r="AJ422">
        <v>14</v>
      </c>
      <c r="AK422">
        <v>50</v>
      </c>
      <c r="AL422">
        <v>3</v>
      </c>
      <c r="AM422">
        <v>2</v>
      </c>
      <c r="AN422" t="s">
        <v>49</v>
      </c>
      <c r="AO422">
        <v>0.96888888888888891</v>
      </c>
      <c r="AP422">
        <v>35</v>
      </c>
    </row>
    <row r="423" spans="1:42" x14ac:dyDescent="0.35">
      <c r="A423">
        <v>97705</v>
      </c>
      <c r="B423">
        <v>8619</v>
      </c>
      <c r="C423">
        <v>950734</v>
      </c>
      <c r="D423">
        <v>468</v>
      </c>
      <c r="E423" s="147">
        <v>44207</v>
      </c>
      <c r="F423" t="s">
        <v>508</v>
      </c>
      <c r="G423" t="s">
        <v>91</v>
      </c>
      <c r="H423" s="147">
        <v>44212</v>
      </c>
      <c r="I423">
        <v>7</v>
      </c>
      <c r="J423" t="s">
        <v>196</v>
      </c>
      <c r="L423">
        <v>0</v>
      </c>
      <c r="M423">
        <v>0</v>
      </c>
      <c r="U423">
        <v>572</v>
      </c>
      <c r="V423">
        <v>488</v>
      </c>
      <c r="W423">
        <v>0</v>
      </c>
      <c r="X423">
        <v>0</v>
      </c>
      <c r="Y423">
        <v>46</v>
      </c>
      <c r="Z423">
        <v>38</v>
      </c>
      <c r="AA423">
        <v>0</v>
      </c>
      <c r="AB423">
        <v>0</v>
      </c>
      <c r="AC423">
        <v>0</v>
      </c>
      <c r="AD423">
        <v>0</v>
      </c>
      <c r="AG423" t="s">
        <v>1</v>
      </c>
      <c r="AH423" t="s">
        <v>435</v>
      </c>
      <c r="AI423">
        <v>219</v>
      </c>
      <c r="AJ423">
        <v>65</v>
      </c>
      <c r="AK423">
        <v>114</v>
      </c>
      <c r="AL423">
        <v>16</v>
      </c>
      <c r="AM423">
        <v>5</v>
      </c>
      <c r="AN423" t="s">
        <v>49</v>
      </c>
      <c r="AO423">
        <v>0.85314685314685312</v>
      </c>
      <c r="AP423">
        <v>111</v>
      </c>
    </row>
    <row r="424" spans="1:42" x14ac:dyDescent="0.35">
      <c r="A424">
        <v>97738</v>
      </c>
      <c r="B424">
        <v>8619</v>
      </c>
      <c r="C424">
        <v>950767</v>
      </c>
      <c r="D424">
        <v>486</v>
      </c>
      <c r="E424" s="147">
        <v>44207</v>
      </c>
      <c r="F424" t="s">
        <v>503</v>
      </c>
      <c r="G424" t="s">
        <v>169</v>
      </c>
      <c r="H424" s="147">
        <v>44212</v>
      </c>
      <c r="I424">
        <v>7</v>
      </c>
      <c r="J424" t="s">
        <v>196</v>
      </c>
      <c r="L424">
        <v>0</v>
      </c>
      <c r="M424">
        <v>0</v>
      </c>
      <c r="U424">
        <v>767</v>
      </c>
      <c r="V424">
        <v>648</v>
      </c>
      <c r="W424">
        <v>0</v>
      </c>
      <c r="X424">
        <v>0</v>
      </c>
      <c r="Y424">
        <v>33</v>
      </c>
      <c r="Z424">
        <v>30</v>
      </c>
      <c r="AA424">
        <v>0</v>
      </c>
      <c r="AB424">
        <v>0</v>
      </c>
      <c r="AC424">
        <v>0</v>
      </c>
      <c r="AD424">
        <v>0</v>
      </c>
      <c r="AG424" t="s">
        <v>226</v>
      </c>
      <c r="AH424" t="s">
        <v>435</v>
      </c>
      <c r="AI424">
        <v>223</v>
      </c>
      <c r="AJ424">
        <v>44</v>
      </c>
      <c r="AK424">
        <v>142</v>
      </c>
      <c r="AL424">
        <v>20</v>
      </c>
      <c r="AM424">
        <v>3</v>
      </c>
      <c r="AN424" t="s">
        <v>49</v>
      </c>
      <c r="AO424">
        <v>0.84485006518904826</v>
      </c>
      <c r="AP424">
        <v>90</v>
      </c>
    </row>
    <row r="425" spans="1:42" x14ac:dyDescent="0.35">
      <c r="A425">
        <v>97744</v>
      </c>
      <c r="B425">
        <v>8619</v>
      </c>
      <c r="C425">
        <v>950773</v>
      </c>
      <c r="D425">
        <v>511</v>
      </c>
      <c r="E425" s="147">
        <v>44207</v>
      </c>
      <c r="F425" t="s">
        <v>506</v>
      </c>
      <c r="G425" t="s">
        <v>81</v>
      </c>
      <c r="H425" s="147">
        <v>44212</v>
      </c>
      <c r="I425">
        <v>7</v>
      </c>
      <c r="J425" t="s">
        <v>196</v>
      </c>
      <c r="L425">
        <v>0</v>
      </c>
      <c r="M425">
        <v>0</v>
      </c>
      <c r="U425">
        <v>864</v>
      </c>
      <c r="V425">
        <v>633</v>
      </c>
      <c r="W425">
        <v>0</v>
      </c>
      <c r="X425">
        <v>0</v>
      </c>
      <c r="Y425">
        <v>26</v>
      </c>
      <c r="Z425">
        <v>26</v>
      </c>
      <c r="AA425">
        <v>0</v>
      </c>
      <c r="AB425">
        <v>0</v>
      </c>
      <c r="AC425">
        <v>0</v>
      </c>
      <c r="AD425">
        <v>0</v>
      </c>
      <c r="AG425" t="s">
        <v>258</v>
      </c>
      <c r="AH425" t="s">
        <v>435</v>
      </c>
      <c r="AI425">
        <v>272</v>
      </c>
      <c r="AJ425">
        <v>86</v>
      </c>
      <c r="AK425">
        <v>129</v>
      </c>
      <c r="AL425">
        <v>10</v>
      </c>
      <c r="AM425">
        <v>3</v>
      </c>
      <c r="AN425" t="s">
        <v>49</v>
      </c>
      <c r="AO425">
        <v>0.73263888888888884</v>
      </c>
      <c r="AP425">
        <v>138</v>
      </c>
    </row>
    <row r="426" spans="1:42" x14ac:dyDescent="0.35">
      <c r="A426">
        <v>97775</v>
      </c>
      <c r="B426">
        <v>8619</v>
      </c>
      <c r="C426">
        <v>950804</v>
      </c>
      <c r="D426">
        <v>322</v>
      </c>
      <c r="E426" s="147">
        <v>44207</v>
      </c>
      <c r="F426" t="s">
        <v>498</v>
      </c>
      <c r="G426" t="s">
        <v>144</v>
      </c>
      <c r="H426" s="147">
        <v>44212</v>
      </c>
      <c r="I426">
        <v>7</v>
      </c>
      <c r="J426" t="s">
        <v>196</v>
      </c>
      <c r="L426">
        <v>0</v>
      </c>
      <c r="M426">
        <v>0</v>
      </c>
      <c r="U426">
        <v>704</v>
      </c>
      <c r="V426">
        <v>612</v>
      </c>
      <c r="W426">
        <v>0</v>
      </c>
      <c r="X426">
        <v>0</v>
      </c>
      <c r="Y426">
        <v>19</v>
      </c>
      <c r="Z426">
        <v>19</v>
      </c>
      <c r="AA426">
        <v>0</v>
      </c>
      <c r="AB426">
        <v>0</v>
      </c>
      <c r="AC426">
        <v>0</v>
      </c>
      <c r="AD426">
        <v>0</v>
      </c>
      <c r="AG426" t="s">
        <v>255</v>
      </c>
      <c r="AH426" t="s">
        <v>435</v>
      </c>
      <c r="AI426">
        <v>283</v>
      </c>
      <c r="AJ426">
        <v>83</v>
      </c>
      <c r="AK426">
        <v>108</v>
      </c>
      <c r="AL426">
        <v>16</v>
      </c>
      <c r="AM426">
        <v>16</v>
      </c>
      <c r="AN426" t="s">
        <v>49</v>
      </c>
      <c r="AO426">
        <v>0.86931818181818177</v>
      </c>
      <c r="AP426">
        <v>152</v>
      </c>
    </row>
    <row r="427" spans="1:42" x14ac:dyDescent="0.35">
      <c r="A427">
        <v>97865</v>
      </c>
      <c r="B427">
        <v>8619</v>
      </c>
      <c r="C427">
        <v>950894</v>
      </c>
      <c r="D427">
        <v>486</v>
      </c>
      <c r="E427" s="147">
        <v>44207</v>
      </c>
      <c r="F427" t="s">
        <v>503</v>
      </c>
      <c r="G427" t="s">
        <v>169</v>
      </c>
      <c r="H427" s="147">
        <v>44213</v>
      </c>
      <c r="I427">
        <v>7</v>
      </c>
      <c r="J427" t="s">
        <v>197</v>
      </c>
      <c r="L427">
        <v>0</v>
      </c>
      <c r="M427">
        <v>0</v>
      </c>
      <c r="U427">
        <v>767</v>
      </c>
      <c r="V427">
        <v>657</v>
      </c>
      <c r="W427">
        <v>0</v>
      </c>
      <c r="X427">
        <v>0</v>
      </c>
      <c r="Y427">
        <v>31</v>
      </c>
      <c r="Z427">
        <v>29</v>
      </c>
      <c r="AA427">
        <v>0</v>
      </c>
      <c r="AB427">
        <v>0</v>
      </c>
      <c r="AC427">
        <v>0</v>
      </c>
      <c r="AD427">
        <v>0</v>
      </c>
      <c r="AG427" t="s">
        <v>226</v>
      </c>
      <c r="AH427" t="s">
        <v>435</v>
      </c>
      <c r="AI427">
        <v>222</v>
      </c>
      <c r="AJ427">
        <v>45</v>
      </c>
      <c r="AK427">
        <v>162</v>
      </c>
      <c r="AL427">
        <v>17</v>
      </c>
      <c r="AM427">
        <v>5</v>
      </c>
      <c r="AN427" t="s">
        <v>49</v>
      </c>
      <c r="AO427">
        <v>0.85658409387222945</v>
      </c>
      <c r="AP427">
        <v>98</v>
      </c>
    </row>
    <row r="428" spans="1:42" x14ac:dyDescent="0.35">
      <c r="A428">
        <v>97871</v>
      </c>
      <c r="B428">
        <v>8619</v>
      </c>
      <c r="C428">
        <v>950900</v>
      </c>
      <c r="D428">
        <v>511</v>
      </c>
      <c r="E428" s="147">
        <v>44207</v>
      </c>
      <c r="F428" t="s">
        <v>506</v>
      </c>
      <c r="G428" t="s">
        <v>81</v>
      </c>
      <c r="H428" s="147">
        <v>44213</v>
      </c>
      <c r="I428">
        <v>7</v>
      </c>
      <c r="J428" t="s">
        <v>197</v>
      </c>
      <c r="L428">
        <v>0</v>
      </c>
      <c r="M428">
        <v>0</v>
      </c>
      <c r="U428">
        <v>868</v>
      </c>
      <c r="V428">
        <v>635</v>
      </c>
      <c r="W428">
        <v>0</v>
      </c>
      <c r="X428">
        <v>0</v>
      </c>
      <c r="Y428">
        <v>26</v>
      </c>
      <c r="Z428">
        <v>24</v>
      </c>
      <c r="AA428">
        <v>0</v>
      </c>
      <c r="AB428">
        <v>0</v>
      </c>
      <c r="AC428">
        <v>0</v>
      </c>
      <c r="AD428">
        <v>0</v>
      </c>
      <c r="AG428" t="s">
        <v>258</v>
      </c>
      <c r="AH428" t="s">
        <v>435</v>
      </c>
      <c r="AI428">
        <v>252</v>
      </c>
      <c r="AJ428">
        <v>75</v>
      </c>
      <c r="AK428">
        <v>139</v>
      </c>
      <c r="AL428">
        <v>10</v>
      </c>
      <c r="AM428">
        <v>3</v>
      </c>
      <c r="AN428" t="s">
        <v>49</v>
      </c>
      <c r="AO428">
        <v>0.73156682027649766</v>
      </c>
      <c r="AP428">
        <v>129</v>
      </c>
    </row>
    <row r="429" spans="1:42" x14ac:dyDescent="0.35">
      <c r="A429">
        <v>97878</v>
      </c>
      <c r="B429">
        <v>8619</v>
      </c>
      <c r="C429">
        <v>950907</v>
      </c>
      <c r="D429">
        <v>411</v>
      </c>
      <c r="E429" s="147">
        <v>44207</v>
      </c>
      <c r="F429" t="s">
        <v>504</v>
      </c>
      <c r="G429" t="s">
        <v>289</v>
      </c>
      <c r="H429" s="147">
        <v>44213</v>
      </c>
      <c r="I429">
        <v>7</v>
      </c>
      <c r="J429" t="s">
        <v>197</v>
      </c>
      <c r="L429">
        <v>0</v>
      </c>
      <c r="M429">
        <v>0</v>
      </c>
      <c r="U429">
        <v>585</v>
      </c>
      <c r="V429">
        <v>460</v>
      </c>
      <c r="W429">
        <v>0</v>
      </c>
      <c r="X429">
        <v>0</v>
      </c>
      <c r="Y429">
        <v>24</v>
      </c>
      <c r="Z429">
        <v>18</v>
      </c>
      <c r="AA429">
        <v>0</v>
      </c>
      <c r="AB429">
        <v>0</v>
      </c>
      <c r="AC429">
        <v>0</v>
      </c>
      <c r="AD429">
        <v>0</v>
      </c>
      <c r="AG429" t="s">
        <v>258</v>
      </c>
      <c r="AH429" t="s">
        <v>435</v>
      </c>
      <c r="AI429">
        <v>191</v>
      </c>
      <c r="AJ429">
        <v>49</v>
      </c>
      <c r="AK429">
        <v>81</v>
      </c>
      <c r="AL429">
        <v>2</v>
      </c>
      <c r="AM429">
        <v>1</v>
      </c>
      <c r="AN429" t="s">
        <v>49</v>
      </c>
      <c r="AO429">
        <v>0.78632478632478631</v>
      </c>
      <c r="AP429">
        <v>92</v>
      </c>
    </row>
    <row r="430" spans="1:42" x14ac:dyDescent="0.35">
      <c r="A430">
        <v>97896</v>
      </c>
      <c r="B430">
        <v>8619</v>
      </c>
      <c r="C430">
        <v>950925</v>
      </c>
      <c r="D430">
        <v>349</v>
      </c>
      <c r="E430" s="147">
        <v>44207</v>
      </c>
      <c r="F430" t="s">
        <v>502</v>
      </c>
      <c r="G430" t="s">
        <v>261</v>
      </c>
      <c r="H430" s="147">
        <v>44213</v>
      </c>
      <c r="I430">
        <v>7</v>
      </c>
      <c r="J430" t="s">
        <v>197</v>
      </c>
      <c r="L430">
        <v>0</v>
      </c>
      <c r="M430">
        <v>0</v>
      </c>
      <c r="U430">
        <v>1640</v>
      </c>
      <c r="V430">
        <v>1392</v>
      </c>
      <c r="W430">
        <v>0</v>
      </c>
      <c r="X430">
        <v>0</v>
      </c>
      <c r="Y430">
        <v>65</v>
      </c>
      <c r="Z430">
        <v>54</v>
      </c>
      <c r="AA430">
        <v>0</v>
      </c>
      <c r="AB430">
        <v>0</v>
      </c>
      <c r="AC430">
        <v>0</v>
      </c>
      <c r="AD430">
        <v>0</v>
      </c>
      <c r="AG430" t="s">
        <v>255</v>
      </c>
      <c r="AH430" t="s">
        <v>435</v>
      </c>
      <c r="AI430">
        <v>738</v>
      </c>
      <c r="AJ430">
        <v>291</v>
      </c>
      <c r="AK430">
        <v>173</v>
      </c>
      <c r="AL430">
        <v>3</v>
      </c>
      <c r="AM430">
        <v>2</v>
      </c>
      <c r="AN430" t="s">
        <v>49</v>
      </c>
      <c r="AO430">
        <v>0.84878048780487803</v>
      </c>
      <c r="AP430">
        <v>451</v>
      </c>
    </row>
    <row r="431" spans="1:42" x14ac:dyDescent="0.35">
      <c r="A431">
        <v>97902</v>
      </c>
      <c r="B431">
        <v>8619</v>
      </c>
      <c r="C431">
        <v>950931</v>
      </c>
      <c r="D431">
        <v>322</v>
      </c>
      <c r="E431" s="147">
        <v>44207</v>
      </c>
      <c r="F431" t="s">
        <v>498</v>
      </c>
      <c r="G431" t="s">
        <v>144</v>
      </c>
      <c r="H431" s="147">
        <v>44213</v>
      </c>
      <c r="I431">
        <v>7</v>
      </c>
      <c r="J431" t="s">
        <v>197</v>
      </c>
      <c r="L431">
        <v>0</v>
      </c>
      <c r="M431">
        <v>0</v>
      </c>
      <c r="U431">
        <v>741</v>
      </c>
      <c r="V431">
        <v>650</v>
      </c>
      <c r="W431">
        <v>0</v>
      </c>
      <c r="X431">
        <v>0</v>
      </c>
      <c r="Y431">
        <v>19</v>
      </c>
      <c r="Z431">
        <v>19</v>
      </c>
      <c r="AA431">
        <v>0</v>
      </c>
      <c r="AB431">
        <v>0</v>
      </c>
      <c r="AC431">
        <v>0</v>
      </c>
      <c r="AD431">
        <v>0</v>
      </c>
      <c r="AG431" t="s">
        <v>255</v>
      </c>
      <c r="AH431" t="s">
        <v>435</v>
      </c>
      <c r="AI431">
        <v>296</v>
      </c>
      <c r="AJ431">
        <v>91</v>
      </c>
      <c r="AK431">
        <v>94</v>
      </c>
      <c r="AL431">
        <v>6</v>
      </c>
      <c r="AM431">
        <v>11</v>
      </c>
      <c r="AN431" t="s">
        <v>49</v>
      </c>
      <c r="AO431">
        <v>0.8771929824561403</v>
      </c>
      <c r="AP431">
        <v>156</v>
      </c>
    </row>
    <row r="432" spans="1:42" x14ac:dyDescent="0.35">
      <c r="A432">
        <v>97057</v>
      </c>
      <c r="B432">
        <v>8619</v>
      </c>
      <c r="C432">
        <v>950086</v>
      </c>
      <c r="D432">
        <v>361</v>
      </c>
      <c r="E432" s="147">
        <v>44207</v>
      </c>
      <c r="F432" t="s">
        <v>511</v>
      </c>
      <c r="G432" t="s">
        <v>103</v>
      </c>
      <c r="H432" s="147">
        <v>44207</v>
      </c>
      <c r="I432">
        <v>7</v>
      </c>
      <c r="J432" t="s">
        <v>195</v>
      </c>
      <c r="L432">
        <v>0</v>
      </c>
      <c r="M432">
        <v>0</v>
      </c>
      <c r="U432">
        <v>452</v>
      </c>
      <c r="V432">
        <v>392</v>
      </c>
      <c r="W432">
        <v>0</v>
      </c>
      <c r="X432">
        <v>0</v>
      </c>
      <c r="Y432">
        <v>16</v>
      </c>
      <c r="Z432">
        <v>14</v>
      </c>
      <c r="AA432">
        <v>0</v>
      </c>
      <c r="AB432">
        <v>0</v>
      </c>
      <c r="AC432">
        <v>1</v>
      </c>
      <c r="AD432">
        <v>0</v>
      </c>
      <c r="AG432" t="s">
        <v>291</v>
      </c>
      <c r="AH432" t="s">
        <v>435</v>
      </c>
      <c r="AI432">
        <v>218</v>
      </c>
      <c r="AJ432">
        <v>89</v>
      </c>
      <c r="AK432">
        <v>67</v>
      </c>
      <c r="AL432">
        <v>13</v>
      </c>
      <c r="AM432">
        <v>11</v>
      </c>
      <c r="AN432" t="s">
        <v>49</v>
      </c>
      <c r="AO432">
        <v>0.86725663716814161</v>
      </c>
      <c r="AP432">
        <v>135</v>
      </c>
    </row>
    <row r="433" spans="1:42" x14ac:dyDescent="0.35">
      <c r="A433">
        <v>97143</v>
      </c>
      <c r="B433">
        <v>8619</v>
      </c>
      <c r="C433">
        <v>950172</v>
      </c>
      <c r="D433">
        <v>460</v>
      </c>
      <c r="E433" s="147">
        <v>44207</v>
      </c>
      <c r="F433" t="s">
        <v>512</v>
      </c>
      <c r="G433" t="s">
        <v>161</v>
      </c>
      <c r="H433" s="147">
        <v>44207</v>
      </c>
      <c r="I433">
        <v>7</v>
      </c>
      <c r="J433" t="s">
        <v>195</v>
      </c>
      <c r="L433">
        <v>0</v>
      </c>
      <c r="M433">
        <v>0</v>
      </c>
      <c r="U433">
        <v>620</v>
      </c>
      <c r="V433">
        <v>534</v>
      </c>
      <c r="W433">
        <v>0</v>
      </c>
      <c r="X433">
        <v>0</v>
      </c>
      <c r="Y433">
        <v>29</v>
      </c>
      <c r="Z433">
        <v>18</v>
      </c>
      <c r="AA433">
        <v>0</v>
      </c>
      <c r="AB433">
        <v>0</v>
      </c>
      <c r="AC433">
        <v>1</v>
      </c>
      <c r="AD433">
        <v>0</v>
      </c>
      <c r="AG433" t="s">
        <v>255</v>
      </c>
      <c r="AH433" t="s">
        <v>435</v>
      </c>
      <c r="AI433">
        <v>305</v>
      </c>
      <c r="AJ433">
        <v>111</v>
      </c>
      <c r="AK433">
        <v>74</v>
      </c>
      <c r="AL433">
        <v>7</v>
      </c>
      <c r="AM433">
        <v>1</v>
      </c>
      <c r="AN433" t="s">
        <v>49</v>
      </c>
      <c r="AO433">
        <v>0.8612903225806452</v>
      </c>
      <c r="AP433">
        <v>176</v>
      </c>
    </row>
    <row r="434" spans="1:42" x14ac:dyDescent="0.35">
      <c r="A434">
        <v>97184</v>
      </c>
      <c r="B434">
        <v>8619</v>
      </c>
      <c r="C434">
        <v>950213</v>
      </c>
      <c r="D434">
        <v>361</v>
      </c>
      <c r="E434" s="147">
        <v>44207</v>
      </c>
      <c r="F434" t="s">
        <v>511</v>
      </c>
      <c r="G434" t="s">
        <v>103</v>
      </c>
      <c r="H434" s="147">
        <v>44208</v>
      </c>
      <c r="I434">
        <v>7</v>
      </c>
      <c r="J434" t="s">
        <v>199</v>
      </c>
      <c r="L434">
        <v>0</v>
      </c>
      <c r="M434">
        <v>0</v>
      </c>
      <c r="U434">
        <v>451</v>
      </c>
      <c r="V434">
        <v>399</v>
      </c>
      <c r="W434">
        <v>0</v>
      </c>
      <c r="X434">
        <v>0</v>
      </c>
      <c r="Y434">
        <v>16</v>
      </c>
      <c r="Z434">
        <v>14</v>
      </c>
      <c r="AA434">
        <v>0</v>
      </c>
      <c r="AB434">
        <v>0</v>
      </c>
      <c r="AC434">
        <v>1</v>
      </c>
      <c r="AD434">
        <v>0</v>
      </c>
      <c r="AG434" t="s">
        <v>291</v>
      </c>
      <c r="AH434" t="s">
        <v>435</v>
      </c>
      <c r="AI434">
        <v>219</v>
      </c>
      <c r="AJ434">
        <v>89</v>
      </c>
      <c r="AK434">
        <v>60</v>
      </c>
      <c r="AL434">
        <v>10</v>
      </c>
      <c r="AM434">
        <v>4</v>
      </c>
      <c r="AN434" t="s">
        <v>49</v>
      </c>
      <c r="AO434">
        <v>0.88470066518847001</v>
      </c>
      <c r="AP434">
        <v>127</v>
      </c>
    </row>
    <row r="435" spans="1:42" x14ac:dyDescent="0.35">
      <c r="A435">
        <v>97270</v>
      </c>
      <c r="B435">
        <v>8619</v>
      </c>
      <c r="C435">
        <v>950299</v>
      </c>
      <c r="D435">
        <v>460</v>
      </c>
      <c r="E435" s="147">
        <v>44207</v>
      </c>
      <c r="F435" t="s">
        <v>512</v>
      </c>
      <c r="G435" t="s">
        <v>161</v>
      </c>
      <c r="H435" s="147">
        <v>44208</v>
      </c>
      <c r="I435">
        <v>7</v>
      </c>
      <c r="J435" t="s">
        <v>199</v>
      </c>
      <c r="L435">
        <v>0</v>
      </c>
      <c r="M435">
        <v>0</v>
      </c>
      <c r="U435">
        <v>615</v>
      </c>
      <c r="V435">
        <v>531</v>
      </c>
      <c r="W435">
        <v>0</v>
      </c>
      <c r="X435">
        <v>0</v>
      </c>
      <c r="Y435">
        <v>29</v>
      </c>
      <c r="Z435">
        <v>16</v>
      </c>
      <c r="AA435">
        <v>0</v>
      </c>
      <c r="AB435">
        <v>0</v>
      </c>
      <c r="AC435">
        <v>1</v>
      </c>
      <c r="AD435">
        <v>0</v>
      </c>
      <c r="AG435" t="s">
        <v>255</v>
      </c>
      <c r="AH435" t="s">
        <v>435</v>
      </c>
      <c r="AI435">
        <v>297</v>
      </c>
      <c r="AJ435">
        <v>109</v>
      </c>
      <c r="AK435">
        <v>85</v>
      </c>
      <c r="AL435">
        <v>10</v>
      </c>
      <c r="AM435">
        <v>3</v>
      </c>
      <c r="AN435" t="s">
        <v>49</v>
      </c>
      <c r="AO435">
        <v>0.86341463414634145</v>
      </c>
      <c r="AP435">
        <v>174</v>
      </c>
    </row>
    <row r="436" spans="1:42" x14ac:dyDescent="0.35">
      <c r="A436">
        <v>97273</v>
      </c>
      <c r="B436">
        <v>8619</v>
      </c>
      <c r="C436">
        <v>950302</v>
      </c>
      <c r="D436">
        <v>439</v>
      </c>
      <c r="E436" s="147">
        <v>44207</v>
      </c>
      <c r="F436" t="s">
        <v>510</v>
      </c>
      <c r="G436" t="s">
        <v>170</v>
      </c>
      <c r="H436" s="147">
        <v>44208</v>
      </c>
      <c r="I436">
        <v>7</v>
      </c>
      <c r="J436" t="s">
        <v>199</v>
      </c>
      <c r="L436">
        <v>0</v>
      </c>
      <c r="M436">
        <v>0</v>
      </c>
      <c r="U436">
        <v>347</v>
      </c>
      <c r="V436">
        <v>345</v>
      </c>
      <c r="W436">
        <v>0</v>
      </c>
      <c r="X436">
        <v>0</v>
      </c>
      <c r="Y436">
        <v>15</v>
      </c>
      <c r="Z436">
        <v>13</v>
      </c>
      <c r="AA436">
        <v>0</v>
      </c>
      <c r="AB436">
        <v>0</v>
      </c>
      <c r="AC436">
        <v>1</v>
      </c>
      <c r="AD436">
        <v>0</v>
      </c>
      <c r="AG436" t="s">
        <v>255</v>
      </c>
      <c r="AH436" t="s">
        <v>435</v>
      </c>
      <c r="AI436">
        <v>165</v>
      </c>
      <c r="AJ436">
        <v>39</v>
      </c>
      <c r="AK436">
        <v>69</v>
      </c>
      <c r="AL436">
        <v>8</v>
      </c>
      <c r="AM436">
        <v>3</v>
      </c>
      <c r="AN436" t="s">
        <v>49</v>
      </c>
      <c r="AO436">
        <v>0.99423631123919309</v>
      </c>
      <c r="AP436">
        <v>73</v>
      </c>
    </row>
    <row r="437" spans="1:42" x14ac:dyDescent="0.35">
      <c r="A437">
        <v>97311</v>
      </c>
      <c r="B437">
        <v>8619</v>
      </c>
      <c r="C437">
        <v>950340</v>
      </c>
      <c r="D437">
        <v>361</v>
      </c>
      <c r="E437" s="147">
        <v>44207</v>
      </c>
      <c r="F437" t="s">
        <v>511</v>
      </c>
      <c r="G437" t="s">
        <v>103</v>
      </c>
      <c r="H437" s="147">
        <v>44209</v>
      </c>
      <c r="I437">
        <v>7</v>
      </c>
      <c r="J437" t="s">
        <v>200</v>
      </c>
      <c r="L437">
        <v>0</v>
      </c>
      <c r="M437">
        <v>0</v>
      </c>
      <c r="U437">
        <v>457</v>
      </c>
      <c r="V437">
        <v>406</v>
      </c>
      <c r="W437">
        <v>0</v>
      </c>
      <c r="X437">
        <v>0</v>
      </c>
      <c r="Y437">
        <v>12</v>
      </c>
      <c r="Z437">
        <v>10</v>
      </c>
      <c r="AA437">
        <v>0</v>
      </c>
      <c r="AB437">
        <v>0</v>
      </c>
      <c r="AC437">
        <v>1</v>
      </c>
      <c r="AD437">
        <v>0</v>
      </c>
      <c r="AG437" t="s">
        <v>291</v>
      </c>
      <c r="AH437" t="s">
        <v>435</v>
      </c>
      <c r="AI437">
        <v>219</v>
      </c>
      <c r="AJ437">
        <v>88</v>
      </c>
      <c r="AK437">
        <v>72</v>
      </c>
      <c r="AL437">
        <v>7</v>
      </c>
      <c r="AM437">
        <v>20</v>
      </c>
      <c r="AN437" t="s">
        <v>49</v>
      </c>
      <c r="AO437">
        <v>0.88840262582056895</v>
      </c>
      <c r="AP437">
        <v>132</v>
      </c>
    </row>
    <row r="438" spans="1:42" x14ac:dyDescent="0.35">
      <c r="A438">
        <v>97397</v>
      </c>
      <c r="B438">
        <v>8619</v>
      </c>
      <c r="C438">
        <v>950426</v>
      </c>
      <c r="D438">
        <v>460</v>
      </c>
      <c r="E438" s="147">
        <v>44207</v>
      </c>
      <c r="F438" t="s">
        <v>512</v>
      </c>
      <c r="G438" t="s">
        <v>161</v>
      </c>
      <c r="H438" s="147">
        <v>44209</v>
      </c>
      <c r="I438">
        <v>7</v>
      </c>
      <c r="J438" t="s">
        <v>200</v>
      </c>
      <c r="L438">
        <v>0</v>
      </c>
      <c r="M438">
        <v>0</v>
      </c>
      <c r="U438">
        <v>613</v>
      </c>
      <c r="V438">
        <v>528</v>
      </c>
      <c r="W438">
        <v>0</v>
      </c>
      <c r="X438">
        <v>0</v>
      </c>
      <c r="Y438">
        <v>29</v>
      </c>
      <c r="Z438">
        <v>21</v>
      </c>
      <c r="AA438">
        <v>0</v>
      </c>
      <c r="AB438">
        <v>0</v>
      </c>
      <c r="AC438">
        <v>1</v>
      </c>
      <c r="AD438">
        <v>0</v>
      </c>
      <c r="AG438" t="s">
        <v>255</v>
      </c>
      <c r="AH438" t="s">
        <v>435</v>
      </c>
      <c r="AI438">
        <v>299</v>
      </c>
      <c r="AJ438">
        <v>111</v>
      </c>
      <c r="AK438">
        <v>75</v>
      </c>
      <c r="AL438">
        <v>9</v>
      </c>
      <c r="AM438">
        <v>3</v>
      </c>
      <c r="AN438" t="s">
        <v>49</v>
      </c>
      <c r="AO438">
        <v>0.86133768352365414</v>
      </c>
      <c r="AP438">
        <v>180</v>
      </c>
    </row>
    <row r="439" spans="1:42" x14ac:dyDescent="0.35">
      <c r="A439">
        <v>97438</v>
      </c>
      <c r="B439">
        <v>8619</v>
      </c>
      <c r="C439">
        <v>950467</v>
      </c>
      <c r="D439">
        <v>361</v>
      </c>
      <c r="E439" s="147">
        <v>44207</v>
      </c>
      <c r="F439" t="s">
        <v>511</v>
      </c>
      <c r="G439" t="s">
        <v>103</v>
      </c>
      <c r="H439" s="147">
        <v>44210</v>
      </c>
      <c r="I439">
        <v>7</v>
      </c>
      <c r="J439" t="s">
        <v>198</v>
      </c>
      <c r="L439">
        <v>0</v>
      </c>
      <c r="M439">
        <v>0</v>
      </c>
      <c r="U439">
        <v>457</v>
      </c>
      <c r="V439">
        <v>408</v>
      </c>
      <c r="W439">
        <v>0</v>
      </c>
      <c r="X439">
        <v>0</v>
      </c>
      <c r="Y439">
        <v>16</v>
      </c>
      <c r="Z439">
        <v>14</v>
      </c>
      <c r="AA439">
        <v>0</v>
      </c>
      <c r="AB439">
        <v>0</v>
      </c>
      <c r="AC439">
        <v>1</v>
      </c>
      <c r="AD439">
        <v>0</v>
      </c>
      <c r="AG439" t="s">
        <v>291</v>
      </c>
      <c r="AH439" t="s">
        <v>435</v>
      </c>
      <c r="AI439">
        <v>224</v>
      </c>
      <c r="AJ439">
        <v>87</v>
      </c>
      <c r="AK439">
        <v>59</v>
      </c>
      <c r="AL439">
        <v>16</v>
      </c>
      <c r="AM439">
        <v>7</v>
      </c>
      <c r="AN439" t="s">
        <v>49</v>
      </c>
      <c r="AO439">
        <v>0.89277899343544853</v>
      </c>
      <c r="AP439">
        <v>140</v>
      </c>
    </row>
    <row r="440" spans="1:42" x14ac:dyDescent="0.35">
      <c r="A440">
        <v>97524</v>
      </c>
      <c r="B440">
        <v>8619</v>
      </c>
      <c r="C440">
        <v>950553</v>
      </c>
      <c r="D440">
        <v>460</v>
      </c>
      <c r="E440" s="147">
        <v>44207</v>
      </c>
      <c r="F440" t="s">
        <v>512</v>
      </c>
      <c r="G440" t="s">
        <v>161</v>
      </c>
      <c r="H440" s="147">
        <v>44210</v>
      </c>
      <c r="I440">
        <v>7</v>
      </c>
      <c r="J440" t="s">
        <v>198</v>
      </c>
      <c r="L440">
        <v>0</v>
      </c>
      <c r="M440">
        <v>0</v>
      </c>
      <c r="U440">
        <v>611</v>
      </c>
      <c r="V440">
        <v>508</v>
      </c>
      <c r="W440">
        <v>0</v>
      </c>
      <c r="X440">
        <v>0</v>
      </c>
      <c r="Y440">
        <v>29</v>
      </c>
      <c r="Z440">
        <v>20</v>
      </c>
      <c r="AA440">
        <v>0</v>
      </c>
      <c r="AB440">
        <v>0</v>
      </c>
      <c r="AC440">
        <v>1</v>
      </c>
      <c r="AD440">
        <v>0</v>
      </c>
      <c r="AG440" t="s">
        <v>255</v>
      </c>
      <c r="AH440" t="s">
        <v>435</v>
      </c>
      <c r="AI440">
        <v>294</v>
      </c>
      <c r="AJ440">
        <v>111</v>
      </c>
      <c r="AK440">
        <v>84</v>
      </c>
      <c r="AL440">
        <v>3</v>
      </c>
      <c r="AM440">
        <v>1</v>
      </c>
      <c r="AN440" t="s">
        <v>49</v>
      </c>
      <c r="AO440">
        <v>0.83142389525368243</v>
      </c>
      <c r="AP440">
        <v>179</v>
      </c>
    </row>
    <row r="441" spans="1:42" x14ac:dyDescent="0.35">
      <c r="A441">
        <v>97651</v>
      </c>
      <c r="B441">
        <v>8619</v>
      </c>
      <c r="C441">
        <v>950680</v>
      </c>
      <c r="D441">
        <v>460</v>
      </c>
      <c r="E441" s="147">
        <v>44207</v>
      </c>
      <c r="F441" t="s">
        <v>512</v>
      </c>
      <c r="G441" t="s">
        <v>161</v>
      </c>
      <c r="H441" s="147">
        <v>44211</v>
      </c>
      <c r="I441">
        <v>7</v>
      </c>
      <c r="J441" t="s">
        <v>194</v>
      </c>
      <c r="L441">
        <v>0</v>
      </c>
      <c r="M441">
        <v>0</v>
      </c>
      <c r="U441">
        <v>669</v>
      </c>
      <c r="V441">
        <v>498</v>
      </c>
      <c r="W441">
        <v>0</v>
      </c>
      <c r="X441">
        <v>0</v>
      </c>
      <c r="Y441">
        <v>29</v>
      </c>
      <c r="Z441">
        <v>24</v>
      </c>
      <c r="AA441">
        <v>0</v>
      </c>
      <c r="AB441">
        <v>0</v>
      </c>
      <c r="AC441">
        <v>1</v>
      </c>
      <c r="AD441">
        <v>0</v>
      </c>
      <c r="AG441" t="s">
        <v>255</v>
      </c>
      <c r="AH441" t="s">
        <v>435</v>
      </c>
      <c r="AI441">
        <v>290</v>
      </c>
      <c r="AJ441">
        <v>111</v>
      </c>
      <c r="AK441">
        <v>81</v>
      </c>
      <c r="AL441">
        <v>4</v>
      </c>
      <c r="AM441">
        <v>1</v>
      </c>
      <c r="AN441" t="s">
        <v>49</v>
      </c>
      <c r="AO441">
        <v>0.74439461883408076</v>
      </c>
      <c r="AP441">
        <v>177</v>
      </c>
    </row>
    <row r="442" spans="1:42" x14ac:dyDescent="0.35">
      <c r="A442">
        <v>97692</v>
      </c>
      <c r="B442">
        <v>8619</v>
      </c>
      <c r="C442">
        <v>950721</v>
      </c>
      <c r="D442">
        <v>361</v>
      </c>
      <c r="E442" s="147">
        <v>44207</v>
      </c>
      <c r="F442" t="s">
        <v>511</v>
      </c>
      <c r="G442" t="s">
        <v>103</v>
      </c>
      <c r="H442" s="147">
        <v>44212</v>
      </c>
      <c r="I442">
        <v>7</v>
      </c>
      <c r="J442" t="s">
        <v>196</v>
      </c>
      <c r="L442">
        <v>0</v>
      </c>
      <c r="M442">
        <v>0</v>
      </c>
      <c r="U442">
        <v>437</v>
      </c>
      <c r="V442">
        <v>386</v>
      </c>
      <c r="W442">
        <v>0</v>
      </c>
      <c r="X442">
        <v>0</v>
      </c>
      <c r="Y442">
        <v>16</v>
      </c>
      <c r="Z442">
        <v>15</v>
      </c>
      <c r="AA442">
        <v>0</v>
      </c>
      <c r="AB442">
        <v>0</v>
      </c>
      <c r="AC442">
        <v>1</v>
      </c>
      <c r="AD442">
        <v>0</v>
      </c>
      <c r="AG442" t="s">
        <v>291</v>
      </c>
      <c r="AH442" t="s">
        <v>435</v>
      </c>
      <c r="AI442">
        <v>213</v>
      </c>
      <c r="AJ442">
        <v>83</v>
      </c>
      <c r="AK442">
        <v>60</v>
      </c>
      <c r="AL442">
        <v>9</v>
      </c>
      <c r="AM442">
        <v>1</v>
      </c>
      <c r="AN442" t="s">
        <v>49</v>
      </c>
      <c r="AO442">
        <v>0.8832951945080092</v>
      </c>
      <c r="AP442">
        <v>126</v>
      </c>
    </row>
    <row r="443" spans="1:42" x14ac:dyDescent="0.35">
      <c r="A443">
        <v>97778</v>
      </c>
      <c r="B443">
        <v>8619</v>
      </c>
      <c r="C443">
        <v>950807</v>
      </c>
      <c r="D443">
        <v>460</v>
      </c>
      <c r="E443" s="147">
        <v>44207</v>
      </c>
      <c r="F443" t="s">
        <v>512</v>
      </c>
      <c r="G443" t="s">
        <v>161</v>
      </c>
      <c r="H443" s="147">
        <v>44212</v>
      </c>
      <c r="I443">
        <v>7</v>
      </c>
      <c r="J443" t="s">
        <v>196</v>
      </c>
      <c r="L443">
        <v>0</v>
      </c>
      <c r="M443">
        <v>0</v>
      </c>
      <c r="U443">
        <v>666</v>
      </c>
      <c r="V443">
        <v>492</v>
      </c>
      <c r="W443">
        <v>0</v>
      </c>
      <c r="X443">
        <v>0</v>
      </c>
      <c r="Y443">
        <v>29</v>
      </c>
      <c r="Z443">
        <v>26</v>
      </c>
      <c r="AA443">
        <v>0</v>
      </c>
      <c r="AB443">
        <v>0</v>
      </c>
      <c r="AC443">
        <v>1</v>
      </c>
      <c r="AD443">
        <v>0</v>
      </c>
      <c r="AG443" t="s">
        <v>255</v>
      </c>
      <c r="AH443" t="s">
        <v>435</v>
      </c>
      <c r="AI443">
        <v>280</v>
      </c>
      <c r="AJ443">
        <v>106</v>
      </c>
      <c r="AK443">
        <v>78</v>
      </c>
      <c r="AL443">
        <v>9</v>
      </c>
      <c r="AM443">
        <v>1</v>
      </c>
      <c r="AN443" t="s">
        <v>49</v>
      </c>
      <c r="AO443">
        <v>0.73873873873873874</v>
      </c>
      <c r="AP443">
        <v>172</v>
      </c>
    </row>
    <row r="444" spans="1:42" x14ac:dyDescent="0.35">
      <c r="A444">
        <v>97819</v>
      </c>
      <c r="B444">
        <v>8619</v>
      </c>
      <c r="C444">
        <v>950848</v>
      </c>
      <c r="D444">
        <v>361</v>
      </c>
      <c r="E444" s="147">
        <v>44207</v>
      </c>
      <c r="F444" t="s">
        <v>511</v>
      </c>
      <c r="G444" t="s">
        <v>103</v>
      </c>
      <c r="H444" s="147">
        <v>44213</v>
      </c>
      <c r="I444">
        <v>7</v>
      </c>
      <c r="J444" t="s">
        <v>197</v>
      </c>
      <c r="L444">
        <v>0</v>
      </c>
      <c r="M444">
        <v>0</v>
      </c>
      <c r="U444">
        <v>446</v>
      </c>
      <c r="V444">
        <v>390</v>
      </c>
      <c r="W444">
        <v>0</v>
      </c>
      <c r="X444">
        <v>0</v>
      </c>
      <c r="Y444">
        <v>12</v>
      </c>
      <c r="Z444">
        <v>11</v>
      </c>
      <c r="AA444">
        <v>0</v>
      </c>
      <c r="AB444">
        <v>0</v>
      </c>
      <c r="AC444">
        <v>1</v>
      </c>
      <c r="AD444">
        <v>0</v>
      </c>
      <c r="AG444" t="s">
        <v>291</v>
      </c>
      <c r="AH444" t="s">
        <v>435</v>
      </c>
      <c r="AI444">
        <v>212</v>
      </c>
      <c r="AJ444">
        <v>82</v>
      </c>
      <c r="AK444">
        <v>78</v>
      </c>
      <c r="AL444">
        <v>21</v>
      </c>
      <c r="AM444">
        <v>7</v>
      </c>
      <c r="AN444" t="s">
        <v>49</v>
      </c>
      <c r="AO444">
        <v>0.87443946188340804</v>
      </c>
      <c r="AP444">
        <v>125</v>
      </c>
    </row>
    <row r="445" spans="1:42" x14ac:dyDescent="0.35">
      <c r="A445">
        <v>97069</v>
      </c>
      <c r="B445">
        <v>8619</v>
      </c>
      <c r="C445">
        <v>950098</v>
      </c>
      <c r="D445">
        <v>375</v>
      </c>
      <c r="E445" s="147">
        <v>44207</v>
      </c>
      <c r="F445" t="s">
        <v>581</v>
      </c>
      <c r="G445" t="s">
        <v>82</v>
      </c>
      <c r="H445" s="147">
        <v>44207</v>
      </c>
      <c r="I445">
        <v>7</v>
      </c>
      <c r="J445" t="s">
        <v>195</v>
      </c>
      <c r="L445">
        <v>0</v>
      </c>
      <c r="M445">
        <v>0</v>
      </c>
      <c r="U445">
        <v>458</v>
      </c>
      <c r="V445">
        <v>442</v>
      </c>
      <c r="W445">
        <v>0</v>
      </c>
      <c r="X445">
        <v>0</v>
      </c>
      <c r="Y445">
        <v>24</v>
      </c>
      <c r="Z445">
        <v>19</v>
      </c>
      <c r="AA445">
        <v>0</v>
      </c>
      <c r="AB445">
        <v>0</v>
      </c>
      <c r="AC445">
        <v>4</v>
      </c>
      <c r="AD445">
        <v>0</v>
      </c>
      <c r="AG445" t="s">
        <v>1</v>
      </c>
      <c r="AH445" t="s">
        <v>435</v>
      </c>
      <c r="AI445">
        <v>168</v>
      </c>
      <c r="AJ445">
        <v>60</v>
      </c>
      <c r="AK445">
        <v>59</v>
      </c>
      <c r="AL445">
        <v>13</v>
      </c>
      <c r="AM445">
        <v>15</v>
      </c>
      <c r="AN445" t="s">
        <v>49</v>
      </c>
      <c r="AO445">
        <v>0.96506550218340614</v>
      </c>
      <c r="AP445">
        <v>102</v>
      </c>
    </row>
    <row r="446" spans="1:42" x14ac:dyDescent="0.35">
      <c r="A446">
        <v>97079</v>
      </c>
      <c r="B446">
        <v>8619</v>
      </c>
      <c r="C446">
        <v>950108</v>
      </c>
      <c r="D446">
        <v>311</v>
      </c>
      <c r="E446" s="147">
        <v>44207</v>
      </c>
      <c r="F446" t="s">
        <v>582</v>
      </c>
      <c r="G446" t="s">
        <v>131</v>
      </c>
      <c r="H446" s="147">
        <v>44207</v>
      </c>
      <c r="I446">
        <v>7</v>
      </c>
      <c r="J446" t="s">
        <v>195</v>
      </c>
      <c r="L446">
        <v>0</v>
      </c>
      <c r="M446">
        <v>0</v>
      </c>
      <c r="U446">
        <v>947</v>
      </c>
      <c r="V446">
        <v>895</v>
      </c>
      <c r="W446">
        <v>0</v>
      </c>
      <c r="X446">
        <v>0</v>
      </c>
      <c r="Y446">
        <v>116</v>
      </c>
      <c r="Z446">
        <v>114</v>
      </c>
      <c r="AA446">
        <v>0</v>
      </c>
      <c r="AB446">
        <v>0</v>
      </c>
      <c r="AC446">
        <v>4</v>
      </c>
      <c r="AD446">
        <v>0</v>
      </c>
      <c r="AG446" t="s">
        <v>1</v>
      </c>
      <c r="AH446" t="s">
        <v>435</v>
      </c>
      <c r="AI446">
        <v>395</v>
      </c>
      <c r="AJ446">
        <v>117</v>
      </c>
      <c r="AK446">
        <v>134</v>
      </c>
      <c r="AL446">
        <v>26</v>
      </c>
      <c r="AM446">
        <v>6</v>
      </c>
      <c r="AN446" t="s">
        <v>49</v>
      </c>
      <c r="AO446">
        <v>0.94508975712777188</v>
      </c>
      <c r="AP446">
        <v>213</v>
      </c>
    </row>
    <row r="447" spans="1:42" x14ac:dyDescent="0.35">
      <c r="A447">
        <v>97087</v>
      </c>
      <c r="B447">
        <v>8619</v>
      </c>
      <c r="C447">
        <v>950116</v>
      </c>
      <c r="D447">
        <v>412</v>
      </c>
      <c r="E447" s="147">
        <v>44207</v>
      </c>
      <c r="F447" t="s">
        <v>518</v>
      </c>
      <c r="G447" t="s">
        <v>104</v>
      </c>
      <c r="H447" s="147">
        <v>44207</v>
      </c>
      <c r="I447">
        <v>7</v>
      </c>
      <c r="J447" t="s">
        <v>195</v>
      </c>
      <c r="L447">
        <v>0</v>
      </c>
      <c r="M447">
        <v>0</v>
      </c>
      <c r="U447">
        <v>507</v>
      </c>
      <c r="V447">
        <v>472</v>
      </c>
      <c r="W447">
        <v>0</v>
      </c>
      <c r="X447">
        <v>0</v>
      </c>
      <c r="Y447">
        <v>29</v>
      </c>
      <c r="Z447">
        <v>12</v>
      </c>
      <c r="AA447">
        <v>0</v>
      </c>
      <c r="AB447">
        <v>0</v>
      </c>
      <c r="AC447">
        <v>4</v>
      </c>
      <c r="AD447">
        <v>0</v>
      </c>
      <c r="AG447" t="s">
        <v>226</v>
      </c>
      <c r="AH447" t="s">
        <v>435</v>
      </c>
      <c r="AI447">
        <v>239</v>
      </c>
      <c r="AJ447">
        <v>92</v>
      </c>
      <c r="AK447">
        <v>83</v>
      </c>
      <c r="AL447">
        <v>14</v>
      </c>
      <c r="AM447">
        <v>3</v>
      </c>
      <c r="AN447" t="s">
        <v>49</v>
      </c>
      <c r="AO447">
        <v>0.93096646942800787</v>
      </c>
      <c r="AP447">
        <v>139</v>
      </c>
    </row>
    <row r="448" spans="1:42" x14ac:dyDescent="0.35">
      <c r="A448">
        <v>97102</v>
      </c>
      <c r="B448">
        <v>8619</v>
      </c>
      <c r="C448">
        <v>950131</v>
      </c>
      <c r="D448">
        <v>320</v>
      </c>
      <c r="E448" s="147">
        <v>44207</v>
      </c>
      <c r="F448" t="s">
        <v>515</v>
      </c>
      <c r="G448" t="s">
        <v>163</v>
      </c>
      <c r="H448" s="147">
        <v>44207</v>
      </c>
      <c r="I448">
        <v>7</v>
      </c>
      <c r="J448" t="s">
        <v>195</v>
      </c>
      <c r="L448">
        <v>0</v>
      </c>
      <c r="M448">
        <v>0</v>
      </c>
      <c r="U448">
        <v>655</v>
      </c>
      <c r="V448">
        <v>541</v>
      </c>
      <c r="W448">
        <v>0</v>
      </c>
      <c r="X448">
        <v>0</v>
      </c>
      <c r="Y448">
        <v>28</v>
      </c>
      <c r="Z448">
        <v>23</v>
      </c>
      <c r="AA448">
        <v>0</v>
      </c>
      <c r="AB448">
        <v>0</v>
      </c>
      <c r="AC448">
        <v>2</v>
      </c>
      <c r="AD448">
        <v>0</v>
      </c>
      <c r="AG448" t="s">
        <v>226</v>
      </c>
      <c r="AH448" t="s">
        <v>435</v>
      </c>
      <c r="AI448">
        <v>42</v>
      </c>
      <c r="AJ448">
        <v>20</v>
      </c>
      <c r="AK448">
        <v>117</v>
      </c>
      <c r="AL448">
        <v>10</v>
      </c>
      <c r="AM448">
        <v>4</v>
      </c>
      <c r="AN448" t="s">
        <v>49</v>
      </c>
      <c r="AO448">
        <v>0.82595419847328244</v>
      </c>
      <c r="AP448">
        <v>26</v>
      </c>
    </row>
    <row r="449" spans="1:42" x14ac:dyDescent="0.35">
      <c r="A449">
        <v>97104</v>
      </c>
      <c r="B449">
        <v>8619</v>
      </c>
      <c r="C449">
        <v>950133</v>
      </c>
      <c r="D449">
        <v>395</v>
      </c>
      <c r="E449" s="147">
        <v>44207</v>
      </c>
      <c r="F449" t="s">
        <v>521</v>
      </c>
      <c r="G449" t="s">
        <v>171</v>
      </c>
      <c r="H449" s="147">
        <v>44207</v>
      </c>
      <c r="I449">
        <v>7</v>
      </c>
      <c r="J449" t="s">
        <v>195</v>
      </c>
      <c r="L449">
        <v>0</v>
      </c>
      <c r="M449">
        <v>0</v>
      </c>
      <c r="U449">
        <v>242</v>
      </c>
      <c r="V449">
        <v>220</v>
      </c>
      <c r="W449">
        <v>0</v>
      </c>
      <c r="X449">
        <v>0</v>
      </c>
      <c r="Y449">
        <v>34</v>
      </c>
      <c r="Z449">
        <v>17</v>
      </c>
      <c r="AA449">
        <v>0</v>
      </c>
      <c r="AB449">
        <v>0</v>
      </c>
      <c r="AC449">
        <v>4</v>
      </c>
      <c r="AD449">
        <v>0</v>
      </c>
      <c r="AG449" t="s">
        <v>226</v>
      </c>
      <c r="AH449" t="s">
        <v>435</v>
      </c>
      <c r="AI449">
        <v>88</v>
      </c>
      <c r="AJ449">
        <v>27</v>
      </c>
      <c r="AK449">
        <v>59</v>
      </c>
      <c r="AL449">
        <v>3</v>
      </c>
      <c r="AM449">
        <v>3</v>
      </c>
      <c r="AN449" t="s">
        <v>49</v>
      </c>
      <c r="AO449">
        <v>0.90909090909090906</v>
      </c>
      <c r="AP449">
        <v>46</v>
      </c>
    </row>
    <row r="450" spans="1:42" x14ac:dyDescent="0.35">
      <c r="A450">
        <v>97106</v>
      </c>
      <c r="B450">
        <v>8619</v>
      </c>
      <c r="C450">
        <v>950135</v>
      </c>
      <c r="D450">
        <v>354</v>
      </c>
      <c r="E450" s="147">
        <v>44207</v>
      </c>
      <c r="F450" t="s">
        <v>527</v>
      </c>
      <c r="G450" t="s">
        <v>68</v>
      </c>
      <c r="H450" s="147">
        <v>44207</v>
      </c>
      <c r="I450">
        <v>7</v>
      </c>
      <c r="J450" t="s">
        <v>195</v>
      </c>
      <c r="L450">
        <v>0</v>
      </c>
      <c r="M450">
        <v>0</v>
      </c>
      <c r="U450">
        <v>387</v>
      </c>
      <c r="V450">
        <v>355</v>
      </c>
      <c r="W450">
        <v>0</v>
      </c>
      <c r="X450">
        <v>0</v>
      </c>
      <c r="Y450">
        <v>23</v>
      </c>
      <c r="Z450">
        <v>18</v>
      </c>
      <c r="AA450">
        <v>0</v>
      </c>
      <c r="AB450">
        <v>0</v>
      </c>
      <c r="AC450">
        <v>2</v>
      </c>
      <c r="AD450">
        <v>0</v>
      </c>
      <c r="AG450" t="s">
        <v>258</v>
      </c>
      <c r="AH450" t="s">
        <v>435</v>
      </c>
      <c r="AI450">
        <v>126</v>
      </c>
      <c r="AJ450">
        <v>25</v>
      </c>
      <c r="AK450">
        <v>56</v>
      </c>
      <c r="AL450">
        <v>13</v>
      </c>
      <c r="AM450">
        <v>1</v>
      </c>
      <c r="AN450" t="s">
        <v>49</v>
      </c>
      <c r="AO450">
        <v>0.91731266149870805</v>
      </c>
      <c r="AP450">
        <v>47</v>
      </c>
    </row>
    <row r="451" spans="1:42" x14ac:dyDescent="0.35">
      <c r="A451">
        <v>97154</v>
      </c>
      <c r="B451">
        <v>8619</v>
      </c>
      <c r="C451">
        <v>950183</v>
      </c>
      <c r="D451">
        <v>406</v>
      </c>
      <c r="E451" s="147">
        <v>44207</v>
      </c>
      <c r="F451" t="s">
        <v>522</v>
      </c>
      <c r="G451" t="s">
        <v>98</v>
      </c>
      <c r="H451" s="147">
        <v>44207</v>
      </c>
      <c r="I451">
        <v>7</v>
      </c>
      <c r="J451" t="s">
        <v>195</v>
      </c>
      <c r="L451">
        <v>0</v>
      </c>
      <c r="M451">
        <v>0</v>
      </c>
      <c r="U451">
        <v>723</v>
      </c>
      <c r="V451">
        <v>600</v>
      </c>
      <c r="W451">
        <v>0</v>
      </c>
      <c r="X451">
        <v>0</v>
      </c>
      <c r="Y451">
        <v>35</v>
      </c>
      <c r="Z451">
        <v>35</v>
      </c>
      <c r="AA451">
        <v>0</v>
      </c>
      <c r="AB451">
        <v>0</v>
      </c>
      <c r="AC451">
        <v>4</v>
      </c>
      <c r="AD451">
        <v>0</v>
      </c>
      <c r="AG451" t="s">
        <v>223</v>
      </c>
      <c r="AH451" t="s">
        <v>435</v>
      </c>
      <c r="AI451">
        <v>255</v>
      </c>
      <c r="AJ451">
        <v>66</v>
      </c>
      <c r="AK451">
        <v>97</v>
      </c>
      <c r="AL451">
        <v>6</v>
      </c>
      <c r="AM451">
        <v>3</v>
      </c>
      <c r="AN451" t="s">
        <v>49</v>
      </c>
      <c r="AO451">
        <v>0.82987551867219922</v>
      </c>
      <c r="AP451">
        <v>108</v>
      </c>
    </row>
    <row r="452" spans="1:42" x14ac:dyDescent="0.35">
      <c r="A452">
        <v>97160</v>
      </c>
      <c r="B452">
        <v>8619</v>
      </c>
      <c r="C452">
        <v>950189</v>
      </c>
      <c r="D452">
        <v>371</v>
      </c>
      <c r="E452" s="147">
        <v>44207</v>
      </c>
      <c r="F452" t="s">
        <v>516</v>
      </c>
      <c r="G452" t="s">
        <v>128</v>
      </c>
      <c r="H452" s="147">
        <v>44207</v>
      </c>
      <c r="I452">
        <v>7</v>
      </c>
      <c r="J452" t="s">
        <v>195</v>
      </c>
      <c r="L452">
        <v>0</v>
      </c>
      <c r="M452">
        <v>0</v>
      </c>
      <c r="U452">
        <v>494</v>
      </c>
      <c r="V452">
        <v>429</v>
      </c>
      <c r="W452">
        <v>0</v>
      </c>
      <c r="X452">
        <v>0</v>
      </c>
      <c r="Y452">
        <v>32</v>
      </c>
      <c r="Z452">
        <v>31</v>
      </c>
      <c r="AA452">
        <v>0</v>
      </c>
      <c r="AB452">
        <v>0</v>
      </c>
      <c r="AC452">
        <v>2</v>
      </c>
      <c r="AD452">
        <v>0</v>
      </c>
      <c r="AG452" t="s">
        <v>223</v>
      </c>
      <c r="AH452" t="s">
        <v>435</v>
      </c>
      <c r="AI452">
        <v>216</v>
      </c>
      <c r="AJ452">
        <v>44</v>
      </c>
      <c r="AK452">
        <v>63</v>
      </c>
      <c r="AL452">
        <v>10</v>
      </c>
      <c r="AM452">
        <v>2</v>
      </c>
      <c r="AN452" t="s">
        <v>49</v>
      </c>
      <c r="AO452">
        <v>0.86842105263157898</v>
      </c>
      <c r="AP452">
        <v>99</v>
      </c>
    </row>
    <row r="453" spans="1:42" x14ac:dyDescent="0.35">
      <c r="A453">
        <v>97173</v>
      </c>
      <c r="B453">
        <v>8619</v>
      </c>
      <c r="C453">
        <v>950202</v>
      </c>
      <c r="D453">
        <v>415</v>
      </c>
      <c r="E453" s="147">
        <v>44207</v>
      </c>
      <c r="F453" t="s">
        <v>525</v>
      </c>
      <c r="G453" t="s">
        <v>134</v>
      </c>
      <c r="H453" s="147">
        <v>44207</v>
      </c>
      <c r="I453">
        <v>7</v>
      </c>
      <c r="J453" t="s">
        <v>195</v>
      </c>
      <c r="L453">
        <v>0</v>
      </c>
      <c r="M453">
        <v>0</v>
      </c>
      <c r="U453">
        <v>423</v>
      </c>
      <c r="V453">
        <v>391</v>
      </c>
      <c r="W453">
        <v>0</v>
      </c>
      <c r="X453">
        <v>0</v>
      </c>
      <c r="Y453">
        <v>16</v>
      </c>
      <c r="Z453">
        <v>12</v>
      </c>
      <c r="AA453">
        <v>0</v>
      </c>
      <c r="AB453">
        <v>0</v>
      </c>
      <c r="AC453">
        <v>4</v>
      </c>
      <c r="AD453">
        <v>0</v>
      </c>
      <c r="AG453" t="s">
        <v>224</v>
      </c>
      <c r="AH453" t="s">
        <v>435</v>
      </c>
      <c r="AI453">
        <v>220</v>
      </c>
      <c r="AJ453">
        <v>83</v>
      </c>
      <c r="AK453">
        <v>40</v>
      </c>
      <c r="AL453">
        <v>7</v>
      </c>
      <c r="AM453">
        <v>16</v>
      </c>
      <c r="AN453" t="s">
        <v>49</v>
      </c>
      <c r="AO453">
        <v>0.92434988179669031</v>
      </c>
      <c r="AP453">
        <v>136</v>
      </c>
    </row>
    <row r="454" spans="1:42" x14ac:dyDescent="0.35">
      <c r="A454">
        <v>97196</v>
      </c>
      <c r="B454">
        <v>8619</v>
      </c>
      <c r="C454">
        <v>950225</v>
      </c>
      <c r="D454">
        <v>375</v>
      </c>
      <c r="E454" s="147">
        <v>44207</v>
      </c>
      <c r="F454" t="s">
        <v>581</v>
      </c>
      <c r="G454" t="s">
        <v>82</v>
      </c>
      <c r="H454" s="147">
        <v>44208</v>
      </c>
      <c r="I454">
        <v>7</v>
      </c>
      <c r="J454" t="s">
        <v>199</v>
      </c>
      <c r="L454">
        <v>0</v>
      </c>
      <c r="M454">
        <v>0</v>
      </c>
      <c r="U454">
        <v>443</v>
      </c>
      <c r="V454">
        <v>425</v>
      </c>
      <c r="W454">
        <v>0</v>
      </c>
      <c r="X454">
        <v>0</v>
      </c>
      <c r="Y454">
        <v>24</v>
      </c>
      <c r="Z454">
        <v>19</v>
      </c>
      <c r="AA454">
        <v>0</v>
      </c>
      <c r="AB454">
        <v>0</v>
      </c>
      <c r="AC454">
        <v>4</v>
      </c>
      <c r="AD454">
        <v>0</v>
      </c>
      <c r="AG454" t="s">
        <v>1</v>
      </c>
      <c r="AH454" t="s">
        <v>435</v>
      </c>
      <c r="AI454">
        <v>166</v>
      </c>
      <c r="AJ454">
        <v>62</v>
      </c>
      <c r="AK454">
        <v>61</v>
      </c>
      <c r="AL454">
        <v>7</v>
      </c>
      <c r="AM454">
        <v>19</v>
      </c>
      <c r="AN454" t="s">
        <v>49</v>
      </c>
      <c r="AO454">
        <v>0.95936794582392781</v>
      </c>
      <c r="AP454">
        <v>104</v>
      </c>
    </row>
    <row r="455" spans="1:42" x14ac:dyDescent="0.35">
      <c r="A455">
        <v>97206</v>
      </c>
      <c r="B455">
        <v>8619</v>
      </c>
      <c r="C455">
        <v>950235</v>
      </c>
      <c r="D455">
        <v>311</v>
      </c>
      <c r="E455" s="147">
        <v>44207</v>
      </c>
      <c r="F455" t="s">
        <v>582</v>
      </c>
      <c r="G455" t="s">
        <v>131</v>
      </c>
      <c r="H455" s="147">
        <v>44208</v>
      </c>
      <c r="I455">
        <v>7</v>
      </c>
      <c r="J455" t="s">
        <v>199</v>
      </c>
      <c r="L455">
        <v>0</v>
      </c>
      <c r="M455">
        <v>0</v>
      </c>
      <c r="U455">
        <v>944</v>
      </c>
      <c r="V455">
        <v>897</v>
      </c>
      <c r="W455">
        <v>0</v>
      </c>
      <c r="X455">
        <v>0</v>
      </c>
      <c r="Y455">
        <v>111</v>
      </c>
      <c r="Z455">
        <v>110</v>
      </c>
      <c r="AA455">
        <v>0</v>
      </c>
      <c r="AB455">
        <v>0</v>
      </c>
      <c r="AC455">
        <v>4</v>
      </c>
      <c r="AD455">
        <v>0</v>
      </c>
      <c r="AG455" t="s">
        <v>1</v>
      </c>
      <c r="AH455" t="s">
        <v>435</v>
      </c>
      <c r="AI455">
        <v>384</v>
      </c>
      <c r="AJ455">
        <v>110</v>
      </c>
      <c r="AK455">
        <v>141</v>
      </c>
      <c r="AL455">
        <v>17</v>
      </c>
      <c r="AM455">
        <v>12</v>
      </c>
      <c r="AN455" t="s">
        <v>49</v>
      </c>
      <c r="AO455">
        <v>0.95021186440677963</v>
      </c>
      <c r="AP455">
        <v>206</v>
      </c>
    </row>
    <row r="456" spans="1:42" x14ac:dyDescent="0.35">
      <c r="A456">
        <v>97231</v>
      </c>
      <c r="B456">
        <v>8619</v>
      </c>
      <c r="C456">
        <v>950260</v>
      </c>
      <c r="D456">
        <v>395</v>
      </c>
      <c r="E456" s="147">
        <v>44207</v>
      </c>
      <c r="F456" t="s">
        <v>521</v>
      </c>
      <c r="G456" t="s">
        <v>171</v>
      </c>
      <c r="H456" s="147">
        <v>44208</v>
      </c>
      <c r="I456">
        <v>7</v>
      </c>
      <c r="J456" t="s">
        <v>199</v>
      </c>
      <c r="L456">
        <v>0</v>
      </c>
      <c r="M456">
        <v>0</v>
      </c>
      <c r="U456">
        <v>242</v>
      </c>
      <c r="V456">
        <v>220</v>
      </c>
      <c r="W456">
        <v>0</v>
      </c>
      <c r="X456">
        <v>0</v>
      </c>
      <c r="Y456">
        <v>34</v>
      </c>
      <c r="Z456">
        <v>17</v>
      </c>
      <c r="AA456">
        <v>0</v>
      </c>
      <c r="AB456">
        <v>0</v>
      </c>
      <c r="AC456">
        <v>4</v>
      </c>
      <c r="AD456">
        <v>0</v>
      </c>
      <c r="AG456" t="s">
        <v>226</v>
      </c>
      <c r="AH456" t="s">
        <v>435</v>
      </c>
      <c r="AI456">
        <v>97</v>
      </c>
      <c r="AJ456">
        <v>31</v>
      </c>
      <c r="AK456">
        <v>59</v>
      </c>
      <c r="AL456">
        <v>9</v>
      </c>
      <c r="AM456">
        <v>2</v>
      </c>
      <c r="AN456" t="s">
        <v>49</v>
      </c>
      <c r="AO456">
        <v>0.90909090909090906</v>
      </c>
      <c r="AP456">
        <v>49</v>
      </c>
    </row>
    <row r="457" spans="1:42" x14ac:dyDescent="0.35">
      <c r="A457">
        <v>97233</v>
      </c>
      <c r="B457">
        <v>8619</v>
      </c>
      <c r="C457">
        <v>950262</v>
      </c>
      <c r="D457">
        <v>354</v>
      </c>
      <c r="E457" s="147">
        <v>44207</v>
      </c>
      <c r="F457" t="s">
        <v>527</v>
      </c>
      <c r="G457" t="s">
        <v>68</v>
      </c>
      <c r="H457" s="147">
        <v>44208</v>
      </c>
      <c r="I457">
        <v>7</v>
      </c>
      <c r="J457" t="s">
        <v>199</v>
      </c>
      <c r="L457">
        <v>0</v>
      </c>
      <c r="M457">
        <v>0</v>
      </c>
      <c r="U457">
        <v>376</v>
      </c>
      <c r="V457">
        <v>354</v>
      </c>
      <c r="W457">
        <v>0</v>
      </c>
      <c r="X457">
        <v>0</v>
      </c>
      <c r="Y457">
        <v>23</v>
      </c>
      <c r="Z457">
        <v>21</v>
      </c>
      <c r="AA457">
        <v>0</v>
      </c>
      <c r="AB457">
        <v>0</v>
      </c>
      <c r="AC457">
        <v>2</v>
      </c>
      <c r="AD457">
        <v>0</v>
      </c>
      <c r="AG457" t="s">
        <v>258</v>
      </c>
      <c r="AH457" t="s">
        <v>435</v>
      </c>
      <c r="AI457">
        <v>120</v>
      </c>
      <c r="AJ457">
        <v>21</v>
      </c>
      <c r="AK457">
        <v>68</v>
      </c>
      <c r="AL457">
        <v>14</v>
      </c>
      <c r="AM457">
        <v>5</v>
      </c>
      <c r="AN457" t="s">
        <v>49</v>
      </c>
      <c r="AO457">
        <v>0.94148936170212771</v>
      </c>
      <c r="AP457">
        <v>51</v>
      </c>
    </row>
    <row r="458" spans="1:42" x14ac:dyDescent="0.35">
      <c r="A458">
        <v>97300</v>
      </c>
      <c r="B458">
        <v>8619</v>
      </c>
      <c r="C458">
        <v>950329</v>
      </c>
      <c r="D458">
        <v>415</v>
      </c>
      <c r="E458" s="147">
        <v>44207</v>
      </c>
      <c r="F458" t="s">
        <v>525</v>
      </c>
      <c r="G458" t="s">
        <v>134</v>
      </c>
      <c r="H458" s="147">
        <v>44208</v>
      </c>
      <c r="I458">
        <v>7</v>
      </c>
      <c r="J458" t="s">
        <v>199</v>
      </c>
      <c r="L458">
        <v>0</v>
      </c>
      <c r="M458">
        <v>0</v>
      </c>
      <c r="U458">
        <v>424</v>
      </c>
      <c r="V458">
        <v>398</v>
      </c>
      <c r="W458">
        <v>0</v>
      </c>
      <c r="X458">
        <v>0</v>
      </c>
      <c r="Y458">
        <v>16</v>
      </c>
      <c r="Z458">
        <v>14</v>
      </c>
      <c r="AA458">
        <v>0</v>
      </c>
      <c r="AB458">
        <v>0</v>
      </c>
      <c r="AC458">
        <v>4</v>
      </c>
      <c r="AD458">
        <v>0</v>
      </c>
      <c r="AG458" t="s">
        <v>224</v>
      </c>
      <c r="AH458" t="s">
        <v>435</v>
      </c>
      <c r="AI458">
        <v>226</v>
      </c>
      <c r="AJ458">
        <v>92</v>
      </c>
      <c r="AK458">
        <v>41</v>
      </c>
      <c r="AL458">
        <v>4</v>
      </c>
      <c r="AM458">
        <v>5</v>
      </c>
      <c r="AN458" t="s">
        <v>49</v>
      </c>
      <c r="AO458">
        <v>0.93867924528301883</v>
      </c>
      <c r="AP458">
        <v>144</v>
      </c>
    </row>
    <row r="459" spans="1:42" x14ac:dyDescent="0.35">
      <c r="A459">
        <v>97323</v>
      </c>
      <c r="B459">
        <v>8619</v>
      </c>
      <c r="C459">
        <v>950352</v>
      </c>
      <c r="D459">
        <v>375</v>
      </c>
      <c r="E459" s="147">
        <v>44207</v>
      </c>
      <c r="F459" t="s">
        <v>581</v>
      </c>
      <c r="G459" t="s">
        <v>82</v>
      </c>
      <c r="H459" s="147">
        <v>44209</v>
      </c>
      <c r="I459">
        <v>7</v>
      </c>
      <c r="J459" t="s">
        <v>200</v>
      </c>
      <c r="L459">
        <v>0</v>
      </c>
      <c r="M459">
        <v>0</v>
      </c>
      <c r="U459">
        <v>442</v>
      </c>
      <c r="V459">
        <v>430</v>
      </c>
      <c r="W459">
        <v>0</v>
      </c>
      <c r="X459">
        <v>0</v>
      </c>
      <c r="Y459">
        <v>24</v>
      </c>
      <c r="Z459">
        <v>19</v>
      </c>
      <c r="AA459">
        <v>0</v>
      </c>
      <c r="AB459">
        <v>0</v>
      </c>
      <c r="AC459">
        <v>4</v>
      </c>
      <c r="AD459">
        <v>0</v>
      </c>
      <c r="AG459" t="s">
        <v>1</v>
      </c>
      <c r="AH459" t="s">
        <v>435</v>
      </c>
      <c r="AI459">
        <v>176</v>
      </c>
      <c r="AJ459">
        <v>71</v>
      </c>
      <c r="AK459">
        <v>73</v>
      </c>
      <c r="AL459">
        <v>17</v>
      </c>
      <c r="AM459">
        <v>8</v>
      </c>
      <c r="AN459" t="s">
        <v>49</v>
      </c>
      <c r="AO459">
        <v>0.97285067873303166</v>
      </c>
      <c r="AP459">
        <v>101</v>
      </c>
    </row>
    <row r="460" spans="1:42" x14ac:dyDescent="0.35">
      <c r="A460">
        <v>97333</v>
      </c>
      <c r="B460">
        <v>8619</v>
      </c>
      <c r="C460">
        <v>950362</v>
      </c>
      <c r="D460">
        <v>311</v>
      </c>
      <c r="E460" s="147">
        <v>44207</v>
      </c>
      <c r="F460" t="s">
        <v>582</v>
      </c>
      <c r="G460" t="s">
        <v>131</v>
      </c>
      <c r="H460" s="147">
        <v>44209</v>
      </c>
      <c r="I460">
        <v>7</v>
      </c>
      <c r="J460" t="s">
        <v>200</v>
      </c>
      <c r="L460">
        <v>0</v>
      </c>
      <c r="M460">
        <v>0</v>
      </c>
      <c r="U460">
        <v>944</v>
      </c>
      <c r="V460">
        <v>858</v>
      </c>
      <c r="W460">
        <v>0</v>
      </c>
      <c r="X460">
        <v>0</v>
      </c>
      <c r="Y460">
        <v>114</v>
      </c>
      <c r="Z460">
        <v>114</v>
      </c>
      <c r="AA460">
        <v>0</v>
      </c>
      <c r="AB460">
        <v>0</v>
      </c>
      <c r="AC460">
        <v>4</v>
      </c>
      <c r="AD460">
        <v>0</v>
      </c>
      <c r="AG460" t="s">
        <v>1</v>
      </c>
      <c r="AH460" t="s">
        <v>435</v>
      </c>
      <c r="AI460">
        <v>370</v>
      </c>
      <c r="AJ460">
        <v>106</v>
      </c>
      <c r="AK460">
        <v>148</v>
      </c>
      <c r="AL460">
        <v>4</v>
      </c>
      <c r="AM460">
        <v>2</v>
      </c>
      <c r="AN460" t="s">
        <v>49</v>
      </c>
      <c r="AO460">
        <v>0.90889830508474578</v>
      </c>
      <c r="AP460">
        <v>193</v>
      </c>
    </row>
    <row r="461" spans="1:42" x14ac:dyDescent="0.35">
      <c r="A461">
        <v>97358</v>
      </c>
      <c r="B461">
        <v>8619</v>
      </c>
      <c r="C461">
        <v>950387</v>
      </c>
      <c r="D461">
        <v>395</v>
      </c>
      <c r="E461" s="147">
        <v>44207</v>
      </c>
      <c r="F461" t="s">
        <v>521</v>
      </c>
      <c r="G461" t="s">
        <v>171</v>
      </c>
      <c r="H461" s="147">
        <v>44209</v>
      </c>
      <c r="I461">
        <v>7</v>
      </c>
      <c r="J461" t="s">
        <v>200</v>
      </c>
      <c r="L461">
        <v>0</v>
      </c>
      <c r="M461">
        <v>0</v>
      </c>
      <c r="U461">
        <v>242</v>
      </c>
      <c r="V461">
        <v>230</v>
      </c>
      <c r="W461">
        <v>0</v>
      </c>
      <c r="X461">
        <v>0</v>
      </c>
      <c r="Y461">
        <v>34</v>
      </c>
      <c r="Z461">
        <v>15</v>
      </c>
      <c r="AA461">
        <v>0</v>
      </c>
      <c r="AB461">
        <v>0</v>
      </c>
      <c r="AC461">
        <v>4</v>
      </c>
      <c r="AD461">
        <v>0</v>
      </c>
      <c r="AG461" t="s">
        <v>226</v>
      </c>
      <c r="AH461" t="s">
        <v>435</v>
      </c>
      <c r="AI461">
        <v>96</v>
      </c>
      <c r="AJ461">
        <v>29</v>
      </c>
      <c r="AK461">
        <v>44</v>
      </c>
      <c r="AL461">
        <v>4</v>
      </c>
      <c r="AM461">
        <v>4</v>
      </c>
      <c r="AN461" t="s">
        <v>49</v>
      </c>
      <c r="AO461">
        <v>0.95041322314049592</v>
      </c>
      <c r="AP461">
        <v>45</v>
      </c>
    </row>
    <row r="462" spans="1:42" x14ac:dyDescent="0.35">
      <c r="A462">
        <v>97414</v>
      </c>
      <c r="B462">
        <v>8619</v>
      </c>
      <c r="C462">
        <v>950443</v>
      </c>
      <c r="D462">
        <v>371</v>
      </c>
      <c r="E462" s="147">
        <v>44207</v>
      </c>
      <c r="F462" t="s">
        <v>516</v>
      </c>
      <c r="G462" t="s">
        <v>128</v>
      </c>
      <c r="H462" s="147">
        <v>44209</v>
      </c>
      <c r="I462">
        <v>7</v>
      </c>
      <c r="J462" t="s">
        <v>200</v>
      </c>
      <c r="L462">
        <v>0</v>
      </c>
      <c r="M462">
        <v>0</v>
      </c>
      <c r="U462">
        <v>597</v>
      </c>
      <c r="V462">
        <v>518</v>
      </c>
      <c r="W462">
        <v>0</v>
      </c>
      <c r="X462">
        <v>0</v>
      </c>
      <c r="Y462">
        <v>33</v>
      </c>
      <c r="Z462">
        <v>31</v>
      </c>
      <c r="AA462">
        <v>0</v>
      </c>
      <c r="AB462">
        <v>0</v>
      </c>
      <c r="AC462">
        <v>2</v>
      </c>
      <c r="AD462">
        <v>0</v>
      </c>
      <c r="AG462" t="s">
        <v>223</v>
      </c>
      <c r="AH462" t="s">
        <v>435</v>
      </c>
      <c r="AI462">
        <v>232</v>
      </c>
      <c r="AJ462">
        <v>48</v>
      </c>
      <c r="AK462">
        <v>74</v>
      </c>
      <c r="AL462">
        <v>8</v>
      </c>
      <c r="AM462">
        <v>4</v>
      </c>
      <c r="AN462" t="s">
        <v>49</v>
      </c>
      <c r="AO462">
        <v>0.86767169179229475</v>
      </c>
      <c r="AP462">
        <v>98</v>
      </c>
    </row>
    <row r="463" spans="1:42" x14ac:dyDescent="0.35">
      <c r="A463">
        <v>97427</v>
      </c>
      <c r="B463">
        <v>8619</v>
      </c>
      <c r="C463">
        <v>950456</v>
      </c>
      <c r="D463">
        <v>415</v>
      </c>
      <c r="E463" s="147">
        <v>44207</v>
      </c>
      <c r="F463" t="s">
        <v>525</v>
      </c>
      <c r="G463" t="s">
        <v>134</v>
      </c>
      <c r="H463" s="147">
        <v>44209</v>
      </c>
      <c r="I463">
        <v>7</v>
      </c>
      <c r="J463" t="s">
        <v>200</v>
      </c>
      <c r="L463">
        <v>0</v>
      </c>
      <c r="M463">
        <v>0</v>
      </c>
      <c r="U463">
        <v>437</v>
      </c>
      <c r="V463">
        <v>404</v>
      </c>
      <c r="W463">
        <v>0</v>
      </c>
      <c r="X463">
        <v>0</v>
      </c>
      <c r="Y463">
        <v>16</v>
      </c>
      <c r="Z463">
        <v>16</v>
      </c>
      <c r="AA463">
        <v>0</v>
      </c>
      <c r="AB463">
        <v>0</v>
      </c>
      <c r="AC463">
        <v>4</v>
      </c>
      <c r="AD463">
        <v>0</v>
      </c>
      <c r="AG463" t="s">
        <v>224</v>
      </c>
      <c r="AH463" t="s">
        <v>435</v>
      </c>
      <c r="AI463">
        <v>214</v>
      </c>
      <c r="AJ463">
        <v>85</v>
      </c>
      <c r="AK463">
        <v>45</v>
      </c>
      <c r="AL463">
        <v>3</v>
      </c>
      <c r="AM463">
        <v>9</v>
      </c>
      <c r="AN463" t="s">
        <v>49</v>
      </c>
      <c r="AO463">
        <v>0.92448512585812359</v>
      </c>
      <c r="AP463">
        <v>139</v>
      </c>
    </row>
    <row r="464" spans="1:42" x14ac:dyDescent="0.35">
      <c r="A464">
        <v>97440</v>
      </c>
      <c r="B464">
        <v>8619</v>
      </c>
      <c r="C464">
        <v>950469</v>
      </c>
      <c r="D464">
        <v>340</v>
      </c>
      <c r="E464" s="147">
        <v>44207</v>
      </c>
      <c r="F464" t="s">
        <v>526</v>
      </c>
      <c r="G464" t="s">
        <v>115</v>
      </c>
      <c r="H464" s="147">
        <v>44210</v>
      </c>
      <c r="I464">
        <v>7</v>
      </c>
      <c r="J464" t="s">
        <v>198</v>
      </c>
      <c r="L464">
        <v>0</v>
      </c>
      <c r="M464">
        <v>0</v>
      </c>
      <c r="U464">
        <v>400</v>
      </c>
      <c r="V464">
        <v>357</v>
      </c>
      <c r="W464">
        <v>0</v>
      </c>
      <c r="X464">
        <v>0</v>
      </c>
      <c r="Y464">
        <v>26</v>
      </c>
      <c r="Z464">
        <v>26</v>
      </c>
      <c r="AA464">
        <v>0</v>
      </c>
      <c r="AB464">
        <v>0</v>
      </c>
      <c r="AC464">
        <v>4</v>
      </c>
      <c r="AD464">
        <v>0</v>
      </c>
      <c r="AG464" t="s">
        <v>291</v>
      </c>
      <c r="AH464" t="s">
        <v>435</v>
      </c>
      <c r="AI464">
        <v>158</v>
      </c>
      <c r="AJ464">
        <v>50</v>
      </c>
      <c r="AK464">
        <v>66</v>
      </c>
      <c r="AL464">
        <v>4</v>
      </c>
      <c r="AM464">
        <v>1</v>
      </c>
      <c r="AN464" t="s">
        <v>49</v>
      </c>
      <c r="AO464">
        <v>0.89249999999999996</v>
      </c>
      <c r="AP464">
        <v>86</v>
      </c>
    </row>
    <row r="465" spans="1:42" x14ac:dyDescent="0.35">
      <c r="A465">
        <v>97450</v>
      </c>
      <c r="B465">
        <v>8619</v>
      </c>
      <c r="C465">
        <v>950479</v>
      </c>
      <c r="D465">
        <v>375</v>
      </c>
      <c r="E465" s="147">
        <v>44207</v>
      </c>
      <c r="F465" t="s">
        <v>581</v>
      </c>
      <c r="G465" t="s">
        <v>82</v>
      </c>
      <c r="H465" s="147">
        <v>44210</v>
      </c>
      <c r="I465">
        <v>7</v>
      </c>
      <c r="J465" t="s">
        <v>198</v>
      </c>
      <c r="L465">
        <v>0</v>
      </c>
      <c r="M465">
        <v>0</v>
      </c>
      <c r="U465">
        <v>448</v>
      </c>
      <c r="V465">
        <v>434</v>
      </c>
      <c r="W465">
        <v>0</v>
      </c>
      <c r="X465">
        <v>0</v>
      </c>
      <c r="Y465">
        <v>24</v>
      </c>
      <c r="Z465">
        <v>23</v>
      </c>
      <c r="AA465">
        <v>0</v>
      </c>
      <c r="AB465">
        <v>0</v>
      </c>
      <c r="AC465">
        <v>4</v>
      </c>
      <c r="AD465">
        <v>0</v>
      </c>
      <c r="AG465" t="s">
        <v>1</v>
      </c>
      <c r="AH465" t="s">
        <v>435</v>
      </c>
      <c r="AI465">
        <v>179</v>
      </c>
      <c r="AJ465">
        <v>68</v>
      </c>
      <c r="AK465">
        <v>67</v>
      </c>
      <c r="AL465">
        <v>11</v>
      </c>
      <c r="AM465">
        <v>12</v>
      </c>
      <c r="AN465" t="s">
        <v>49</v>
      </c>
      <c r="AO465">
        <v>0.96875</v>
      </c>
      <c r="AP465">
        <v>95</v>
      </c>
    </row>
    <row r="466" spans="1:42" x14ac:dyDescent="0.35">
      <c r="A466">
        <v>97485</v>
      </c>
      <c r="B466">
        <v>8619</v>
      </c>
      <c r="C466">
        <v>950514</v>
      </c>
      <c r="D466">
        <v>395</v>
      </c>
      <c r="E466" s="147">
        <v>44207</v>
      </c>
      <c r="F466" t="s">
        <v>521</v>
      </c>
      <c r="G466" t="s">
        <v>171</v>
      </c>
      <c r="H466" s="147">
        <v>44210</v>
      </c>
      <c r="I466">
        <v>7</v>
      </c>
      <c r="J466" t="s">
        <v>198</v>
      </c>
      <c r="L466">
        <v>0</v>
      </c>
      <c r="M466">
        <v>0</v>
      </c>
      <c r="U466">
        <v>283</v>
      </c>
      <c r="V466">
        <v>233</v>
      </c>
      <c r="W466">
        <v>0</v>
      </c>
      <c r="X466">
        <v>0</v>
      </c>
      <c r="Y466">
        <v>34</v>
      </c>
      <c r="Z466">
        <v>17</v>
      </c>
      <c r="AA466">
        <v>0</v>
      </c>
      <c r="AB466">
        <v>0</v>
      </c>
      <c r="AC466">
        <v>4</v>
      </c>
      <c r="AD466">
        <v>0</v>
      </c>
      <c r="AG466" t="s">
        <v>226</v>
      </c>
      <c r="AH466" t="s">
        <v>435</v>
      </c>
      <c r="AI466">
        <v>99</v>
      </c>
      <c r="AJ466">
        <v>29</v>
      </c>
      <c r="AK466">
        <v>55</v>
      </c>
      <c r="AL466">
        <v>2</v>
      </c>
      <c r="AM466">
        <v>1</v>
      </c>
      <c r="AN466" t="s">
        <v>49</v>
      </c>
      <c r="AO466">
        <v>0.82332155477031799</v>
      </c>
      <c r="AP466">
        <v>48</v>
      </c>
    </row>
    <row r="467" spans="1:42" x14ac:dyDescent="0.35">
      <c r="A467">
        <v>97525</v>
      </c>
      <c r="B467">
        <v>8619</v>
      </c>
      <c r="C467">
        <v>950554</v>
      </c>
      <c r="D467">
        <v>489</v>
      </c>
      <c r="E467" s="147">
        <v>44207</v>
      </c>
      <c r="F467" t="s">
        <v>519</v>
      </c>
      <c r="G467" t="s">
        <v>434</v>
      </c>
      <c r="H467" s="147">
        <v>44210</v>
      </c>
      <c r="I467">
        <v>7</v>
      </c>
      <c r="J467" t="s">
        <v>198</v>
      </c>
      <c r="L467">
        <v>0</v>
      </c>
      <c r="M467">
        <v>0</v>
      </c>
      <c r="U467">
        <v>537</v>
      </c>
      <c r="V467">
        <v>483</v>
      </c>
      <c r="W467">
        <v>0</v>
      </c>
      <c r="X467">
        <v>0</v>
      </c>
      <c r="Y467">
        <v>18</v>
      </c>
      <c r="Z467">
        <v>18</v>
      </c>
      <c r="AA467">
        <v>0</v>
      </c>
      <c r="AB467">
        <v>0</v>
      </c>
      <c r="AC467">
        <v>3</v>
      </c>
      <c r="AD467">
        <v>0</v>
      </c>
      <c r="AG467" t="s">
        <v>255</v>
      </c>
      <c r="AH467" t="s">
        <v>435</v>
      </c>
      <c r="AI467">
        <v>278</v>
      </c>
      <c r="AJ467">
        <v>102</v>
      </c>
      <c r="AK467">
        <v>57</v>
      </c>
      <c r="AL467">
        <v>4</v>
      </c>
      <c r="AM467">
        <v>1</v>
      </c>
      <c r="AN467" t="s">
        <v>49</v>
      </c>
      <c r="AO467">
        <v>0.8994413407821229</v>
      </c>
      <c r="AP467">
        <v>159</v>
      </c>
    </row>
    <row r="468" spans="1:42" x14ac:dyDescent="0.35">
      <c r="A468">
        <v>97535</v>
      </c>
      <c r="B468">
        <v>8619</v>
      </c>
      <c r="C468">
        <v>950564</v>
      </c>
      <c r="D468">
        <v>406</v>
      </c>
      <c r="E468" s="147">
        <v>44207</v>
      </c>
      <c r="F468" t="s">
        <v>522</v>
      </c>
      <c r="G468" t="s">
        <v>98</v>
      </c>
      <c r="H468" s="147">
        <v>44210</v>
      </c>
      <c r="I468">
        <v>7</v>
      </c>
      <c r="J468" t="s">
        <v>198</v>
      </c>
      <c r="L468">
        <v>0</v>
      </c>
      <c r="M468">
        <v>0</v>
      </c>
      <c r="U468">
        <v>761</v>
      </c>
      <c r="V468">
        <v>577</v>
      </c>
      <c r="W468">
        <v>0</v>
      </c>
      <c r="X468">
        <v>0</v>
      </c>
      <c r="Y468">
        <v>39</v>
      </c>
      <c r="Z468">
        <v>34</v>
      </c>
      <c r="AA468">
        <v>0</v>
      </c>
      <c r="AB468">
        <v>0</v>
      </c>
      <c r="AC468">
        <v>4</v>
      </c>
      <c r="AD468">
        <v>0</v>
      </c>
      <c r="AG468" t="s">
        <v>223</v>
      </c>
      <c r="AH468" t="s">
        <v>435</v>
      </c>
      <c r="AI468">
        <v>269</v>
      </c>
      <c r="AJ468">
        <v>70</v>
      </c>
      <c r="AK468">
        <v>103</v>
      </c>
      <c r="AL468">
        <v>9</v>
      </c>
      <c r="AM468">
        <v>1</v>
      </c>
      <c r="AN468" t="s">
        <v>49</v>
      </c>
      <c r="AO468">
        <v>0.75821287779237845</v>
      </c>
      <c r="AP468">
        <v>115</v>
      </c>
    </row>
    <row r="469" spans="1:42" x14ac:dyDescent="0.35">
      <c r="A469">
        <v>97554</v>
      </c>
      <c r="B469">
        <v>8619</v>
      </c>
      <c r="C469">
        <v>950583</v>
      </c>
      <c r="D469">
        <v>415</v>
      </c>
      <c r="E469" s="147">
        <v>44207</v>
      </c>
      <c r="F469" t="s">
        <v>525</v>
      </c>
      <c r="G469" t="s">
        <v>134</v>
      </c>
      <c r="H469" s="147">
        <v>44210</v>
      </c>
      <c r="I469">
        <v>7</v>
      </c>
      <c r="J469" t="s">
        <v>198</v>
      </c>
      <c r="L469">
        <v>0</v>
      </c>
      <c r="M469">
        <v>0</v>
      </c>
      <c r="U469">
        <v>427</v>
      </c>
      <c r="V469">
        <v>390</v>
      </c>
      <c r="W469">
        <v>0</v>
      </c>
      <c r="X469">
        <v>0</v>
      </c>
      <c r="Y469">
        <v>16</v>
      </c>
      <c r="Z469">
        <v>14</v>
      </c>
      <c r="AA469">
        <v>0</v>
      </c>
      <c r="AB469">
        <v>0</v>
      </c>
      <c r="AC469">
        <v>4</v>
      </c>
      <c r="AD469">
        <v>0</v>
      </c>
      <c r="AG469" t="s">
        <v>224</v>
      </c>
      <c r="AH469" t="s">
        <v>435</v>
      </c>
      <c r="AI469">
        <v>204</v>
      </c>
      <c r="AJ469">
        <v>79</v>
      </c>
      <c r="AK469">
        <v>45</v>
      </c>
      <c r="AL469">
        <v>4</v>
      </c>
      <c r="AM469">
        <v>3</v>
      </c>
      <c r="AN469" t="s">
        <v>49</v>
      </c>
      <c r="AO469">
        <v>0.9133489461358314</v>
      </c>
      <c r="AP469">
        <v>132</v>
      </c>
    </row>
    <row r="470" spans="1:42" x14ac:dyDescent="0.35">
      <c r="A470">
        <v>97567</v>
      </c>
      <c r="B470">
        <v>8619</v>
      </c>
      <c r="C470">
        <v>950596</v>
      </c>
      <c r="D470">
        <v>340</v>
      </c>
      <c r="E470" s="147">
        <v>44207</v>
      </c>
      <c r="F470" t="s">
        <v>526</v>
      </c>
      <c r="G470" t="s">
        <v>115</v>
      </c>
      <c r="H470" s="147">
        <v>44211</v>
      </c>
      <c r="I470">
        <v>7</v>
      </c>
      <c r="J470" t="s">
        <v>194</v>
      </c>
      <c r="L470">
        <v>0</v>
      </c>
      <c r="M470">
        <v>0</v>
      </c>
      <c r="U470">
        <v>400</v>
      </c>
      <c r="V470">
        <v>350</v>
      </c>
      <c r="W470">
        <v>0</v>
      </c>
      <c r="X470">
        <v>0</v>
      </c>
      <c r="Y470">
        <v>26</v>
      </c>
      <c r="Z470">
        <v>25</v>
      </c>
      <c r="AA470">
        <v>0</v>
      </c>
      <c r="AB470">
        <v>0</v>
      </c>
      <c r="AC470">
        <v>4</v>
      </c>
      <c r="AD470">
        <v>0</v>
      </c>
      <c r="AG470" t="s">
        <v>291</v>
      </c>
      <c r="AH470" t="s">
        <v>435</v>
      </c>
      <c r="AI470">
        <v>156</v>
      </c>
      <c r="AJ470">
        <v>51</v>
      </c>
      <c r="AK470">
        <v>66</v>
      </c>
      <c r="AL470">
        <v>3</v>
      </c>
      <c r="AM470">
        <v>1</v>
      </c>
      <c r="AN470" t="s">
        <v>49</v>
      </c>
      <c r="AO470">
        <v>0.875</v>
      </c>
      <c r="AP470">
        <v>84</v>
      </c>
    </row>
    <row r="471" spans="1:42" x14ac:dyDescent="0.35">
      <c r="A471">
        <v>97577</v>
      </c>
      <c r="B471">
        <v>8619</v>
      </c>
      <c r="C471">
        <v>950606</v>
      </c>
      <c r="D471">
        <v>375</v>
      </c>
      <c r="E471" s="147">
        <v>44207</v>
      </c>
      <c r="F471" t="s">
        <v>581</v>
      </c>
      <c r="G471" t="s">
        <v>82</v>
      </c>
      <c r="H471" s="147">
        <v>44211</v>
      </c>
      <c r="I471">
        <v>7</v>
      </c>
      <c r="J471" t="s">
        <v>194</v>
      </c>
      <c r="L471">
        <v>0</v>
      </c>
      <c r="M471">
        <v>0</v>
      </c>
      <c r="U471">
        <v>448</v>
      </c>
      <c r="V471">
        <v>431</v>
      </c>
      <c r="W471">
        <v>0</v>
      </c>
      <c r="X471">
        <v>0</v>
      </c>
      <c r="Y471">
        <v>24</v>
      </c>
      <c r="Z471">
        <v>21</v>
      </c>
      <c r="AA471">
        <v>0</v>
      </c>
      <c r="AB471">
        <v>0</v>
      </c>
      <c r="AC471">
        <v>4</v>
      </c>
      <c r="AD471">
        <v>0</v>
      </c>
      <c r="AG471" t="s">
        <v>1</v>
      </c>
      <c r="AH471" t="s">
        <v>435</v>
      </c>
      <c r="AI471">
        <v>184</v>
      </c>
      <c r="AJ471">
        <v>66</v>
      </c>
      <c r="AK471">
        <v>88</v>
      </c>
      <c r="AL471">
        <v>7</v>
      </c>
      <c r="AM471">
        <v>4</v>
      </c>
      <c r="AN471" t="s">
        <v>49</v>
      </c>
      <c r="AO471">
        <v>0.9620535714285714</v>
      </c>
      <c r="AP471">
        <v>95</v>
      </c>
    </row>
    <row r="472" spans="1:42" x14ac:dyDescent="0.35">
      <c r="A472">
        <v>97596</v>
      </c>
      <c r="B472">
        <v>8619</v>
      </c>
      <c r="C472">
        <v>950625</v>
      </c>
      <c r="D472">
        <v>413</v>
      </c>
      <c r="E472" s="147">
        <v>44207</v>
      </c>
      <c r="F472" t="s">
        <v>520</v>
      </c>
      <c r="G472" t="s">
        <v>121</v>
      </c>
      <c r="H472" s="147">
        <v>44211</v>
      </c>
      <c r="I472">
        <v>7</v>
      </c>
      <c r="J472" t="s">
        <v>194</v>
      </c>
      <c r="L472">
        <v>0</v>
      </c>
      <c r="M472">
        <v>0</v>
      </c>
      <c r="U472">
        <v>625</v>
      </c>
      <c r="V472">
        <v>521</v>
      </c>
      <c r="W472">
        <v>0</v>
      </c>
      <c r="X472">
        <v>0</v>
      </c>
      <c r="Y472">
        <v>22</v>
      </c>
      <c r="Z472">
        <v>14</v>
      </c>
      <c r="AA472">
        <v>0</v>
      </c>
      <c r="AB472">
        <v>0</v>
      </c>
      <c r="AC472">
        <v>2</v>
      </c>
      <c r="AD472">
        <v>0</v>
      </c>
      <c r="AG472" t="s">
        <v>226</v>
      </c>
      <c r="AH472" t="s">
        <v>435</v>
      </c>
      <c r="AI472">
        <v>258</v>
      </c>
      <c r="AJ472">
        <v>72</v>
      </c>
      <c r="AK472">
        <v>109</v>
      </c>
      <c r="AL472">
        <v>18</v>
      </c>
      <c r="AM472">
        <v>1</v>
      </c>
      <c r="AN472" t="s">
        <v>49</v>
      </c>
      <c r="AO472">
        <v>0.83360000000000001</v>
      </c>
      <c r="AP472">
        <v>121</v>
      </c>
    </row>
    <row r="473" spans="1:42" x14ac:dyDescent="0.35">
      <c r="A473">
        <v>97681</v>
      </c>
      <c r="B473">
        <v>8619</v>
      </c>
      <c r="C473">
        <v>950710</v>
      </c>
      <c r="D473">
        <v>415</v>
      </c>
      <c r="E473" s="147">
        <v>44207</v>
      </c>
      <c r="F473" t="s">
        <v>525</v>
      </c>
      <c r="G473" t="s">
        <v>134</v>
      </c>
      <c r="H473" s="147">
        <v>44211</v>
      </c>
      <c r="I473">
        <v>7</v>
      </c>
      <c r="J473" t="s">
        <v>194</v>
      </c>
      <c r="L473">
        <v>0</v>
      </c>
      <c r="M473">
        <v>0</v>
      </c>
      <c r="U473">
        <v>422</v>
      </c>
      <c r="V473">
        <v>395</v>
      </c>
      <c r="W473">
        <v>0</v>
      </c>
      <c r="X473">
        <v>0</v>
      </c>
      <c r="Y473">
        <v>16</v>
      </c>
      <c r="Z473">
        <v>16</v>
      </c>
      <c r="AA473">
        <v>0</v>
      </c>
      <c r="AB473">
        <v>0</v>
      </c>
      <c r="AC473">
        <v>4</v>
      </c>
      <c r="AD473">
        <v>0</v>
      </c>
      <c r="AG473" t="s">
        <v>224</v>
      </c>
      <c r="AH473" t="s">
        <v>435</v>
      </c>
      <c r="AI473">
        <v>215</v>
      </c>
      <c r="AJ473">
        <v>82</v>
      </c>
      <c r="AK473">
        <v>44</v>
      </c>
      <c r="AL473">
        <v>11</v>
      </c>
      <c r="AM473">
        <v>5</v>
      </c>
      <c r="AN473" t="s">
        <v>49</v>
      </c>
      <c r="AO473">
        <v>0.93601895734597151</v>
      </c>
      <c r="AP473">
        <v>134</v>
      </c>
    </row>
    <row r="474" spans="1:42" x14ac:dyDescent="0.35">
      <c r="A474">
        <v>97694</v>
      </c>
      <c r="B474">
        <v>8619</v>
      </c>
      <c r="C474">
        <v>950723</v>
      </c>
      <c r="D474">
        <v>340</v>
      </c>
      <c r="E474" s="147">
        <v>44207</v>
      </c>
      <c r="F474" t="s">
        <v>526</v>
      </c>
      <c r="G474" t="s">
        <v>115</v>
      </c>
      <c r="H474" s="147">
        <v>44212</v>
      </c>
      <c r="I474">
        <v>7</v>
      </c>
      <c r="J474" t="s">
        <v>196</v>
      </c>
      <c r="L474">
        <v>0</v>
      </c>
      <c r="M474">
        <v>0</v>
      </c>
      <c r="U474">
        <v>400</v>
      </c>
      <c r="V474">
        <v>321</v>
      </c>
      <c r="W474">
        <v>0</v>
      </c>
      <c r="X474">
        <v>0</v>
      </c>
      <c r="Y474">
        <v>26</v>
      </c>
      <c r="Z474">
        <v>25</v>
      </c>
      <c r="AA474">
        <v>0</v>
      </c>
      <c r="AB474">
        <v>0</v>
      </c>
      <c r="AC474">
        <v>4</v>
      </c>
      <c r="AD474">
        <v>0</v>
      </c>
      <c r="AG474" t="s">
        <v>291</v>
      </c>
      <c r="AH474" t="s">
        <v>435</v>
      </c>
      <c r="AI474">
        <v>148</v>
      </c>
      <c r="AJ474">
        <v>50</v>
      </c>
      <c r="AK474">
        <v>65</v>
      </c>
      <c r="AL474">
        <v>4</v>
      </c>
      <c r="AM474">
        <v>1</v>
      </c>
      <c r="AN474" t="s">
        <v>49</v>
      </c>
      <c r="AO474">
        <v>0.80249999999999999</v>
      </c>
      <c r="AP474">
        <v>80</v>
      </c>
    </row>
    <row r="475" spans="1:42" x14ac:dyDescent="0.35">
      <c r="A475">
        <v>97704</v>
      </c>
      <c r="B475">
        <v>8619</v>
      </c>
      <c r="C475">
        <v>950733</v>
      </c>
      <c r="D475">
        <v>375</v>
      </c>
      <c r="E475" s="147">
        <v>44207</v>
      </c>
      <c r="F475" t="s">
        <v>581</v>
      </c>
      <c r="G475" t="s">
        <v>82</v>
      </c>
      <c r="H475" s="147">
        <v>44212</v>
      </c>
      <c r="I475">
        <v>7</v>
      </c>
      <c r="J475" t="s">
        <v>196</v>
      </c>
      <c r="L475">
        <v>0</v>
      </c>
      <c r="M475">
        <v>0</v>
      </c>
      <c r="U475">
        <v>468</v>
      </c>
      <c r="V475">
        <v>423</v>
      </c>
      <c r="W475">
        <v>0</v>
      </c>
      <c r="X475">
        <v>0</v>
      </c>
      <c r="Y475">
        <v>24</v>
      </c>
      <c r="Z475">
        <v>23</v>
      </c>
      <c r="AA475">
        <v>0</v>
      </c>
      <c r="AB475">
        <v>0</v>
      </c>
      <c r="AC475">
        <v>4</v>
      </c>
      <c r="AD475">
        <v>0</v>
      </c>
      <c r="AG475" t="s">
        <v>1</v>
      </c>
      <c r="AH475" t="s">
        <v>435</v>
      </c>
      <c r="AI475">
        <v>178</v>
      </c>
      <c r="AJ475">
        <v>60</v>
      </c>
      <c r="AK475">
        <v>78</v>
      </c>
      <c r="AL475">
        <v>8</v>
      </c>
      <c r="AM475">
        <v>8</v>
      </c>
      <c r="AN475" t="s">
        <v>49</v>
      </c>
      <c r="AO475">
        <v>0.90384615384615385</v>
      </c>
      <c r="AP475">
        <v>89</v>
      </c>
    </row>
    <row r="476" spans="1:42" x14ac:dyDescent="0.35">
      <c r="A476">
        <v>97739</v>
      </c>
      <c r="B476">
        <v>8619</v>
      </c>
      <c r="C476">
        <v>950768</v>
      </c>
      <c r="D476">
        <v>395</v>
      </c>
      <c r="E476" s="147">
        <v>44207</v>
      </c>
      <c r="F476" t="s">
        <v>521</v>
      </c>
      <c r="G476" t="s">
        <v>171</v>
      </c>
      <c r="H476" s="147">
        <v>44212</v>
      </c>
      <c r="I476">
        <v>7</v>
      </c>
      <c r="J476" t="s">
        <v>196</v>
      </c>
      <c r="L476">
        <v>0</v>
      </c>
      <c r="M476">
        <v>0</v>
      </c>
      <c r="U476">
        <v>283</v>
      </c>
      <c r="V476">
        <v>220</v>
      </c>
      <c r="W476">
        <v>0</v>
      </c>
      <c r="X476">
        <v>0</v>
      </c>
      <c r="Y476">
        <v>34</v>
      </c>
      <c r="Z476">
        <v>15</v>
      </c>
      <c r="AA476">
        <v>0</v>
      </c>
      <c r="AB476">
        <v>0</v>
      </c>
      <c r="AC476">
        <v>4</v>
      </c>
      <c r="AD476">
        <v>0</v>
      </c>
      <c r="AG476" t="s">
        <v>226</v>
      </c>
      <c r="AH476" t="s">
        <v>435</v>
      </c>
      <c r="AI476">
        <v>101</v>
      </c>
      <c r="AJ476">
        <v>25</v>
      </c>
      <c r="AK476">
        <v>61</v>
      </c>
      <c r="AL476">
        <v>3</v>
      </c>
      <c r="AM476">
        <v>1</v>
      </c>
      <c r="AN476" t="s">
        <v>49</v>
      </c>
      <c r="AO476">
        <v>0.77738515901060068</v>
      </c>
      <c r="AP476">
        <v>47</v>
      </c>
    </row>
    <row r="477" spans="1:42" x14ac:dyDescent="0.35">
      <c r="A477">
        <v>97795</v>
      </c>
      <c r="B477">
        <v>8619</v>
      </c>
      <c r="C477">
        <v>950824</v>
      </c>
      <c r="D477">
        <v>371</v>
      </c>
      <c r="E477" s="147">
        <v>44207</v>
      </c>
      <c r="F477" t="s">
        <v>516</v>
      </c>
      <c r="G477" t="s">
        <v>128</v>
      </c>
      <c r="H477" s="147">
        <v>44212</v>
      </c>
      <c r="I477">
        <v>7</v>
      </c>
      <c r="J477" t="s">
        <v>196</v>
      </c>
      <c r="L477">
        <v>0</v>
      </c>
      <c r="M477">
        <v>0</v>
      </c>
      <c r="U477">
        <v>585</v>
      </c>
      <c r="V477">
        <v>496</v>
      </c>
      <c r="W477">
        <v>0</v>
      </c>
      <c r="X477">
        <v>0</v>
      </c>
      <c r="Y477">
        <v>34</v>
      </c>
      <c r="Z477">
        <v>30</v>
      </c>
      <c r="AA477">
        <v>0</v>
      </c>
      <c r="AB477">
        <v>0</v>
      </c>
      <c r="AC477">
        <v>2</v>
      </c>
      <c r="AD477">
        <v>0</v>
      </c>
      <c r="AG477" t="s">
        <v>223</v>
      </c>
      <c r="AH477" t="s">
        <v>435</v>
      </c>
      <c r="AI477">
        <v>229</v>
      </c>
      <c r="AJ477">
        <v>47</v>
      </c>
      <c r="AK477">
        <v>84</v>
      </c>
      <c r="AL477">
        <v>6</v>
      </c>
      <c r="AM477">
        <v>1</v>
      </c>
      <c r="AN477" t="s">
        <v>49</v>
      </c>
      <c r="AO477">
        <v>0.84786324786324785</v>
      </c>
      <c r="AP477">
        <v>93</v>
      </c>
    </row>
    <row r="478" spans="1:42" x14ac:dyDescent="0.35">
      <c r="A478">
        <v>97831</v>
      </c>
      <c r="B478">
        <v>8619</v>
      </c>
      <c r="C478">
        <v>950860</v>
      </c>
      <c r="D478">
        <v>375</v>
      </c>
      <c r="E478" s="147">
        <v>44207</v>
      </c>
      <c r="F478" t="s">
        <v>581</v>
      </c>
      <c r="G478" t="s">
        <v>82</v>
      </c>
      <c r="H478" s="147">
        <v>44213</v>
      </c>
      <c r="I478">
        <v>7</v>
      </c>
      <c r="J478" t="s">
        <v>197</v>
      </c>
      <c r="L478">
        <v>0</v>
      </c>
      <c r="M478">
        <v>0</v>
      </c>
      <c r="U478">
        <v>447</v>
      </c>
      <c r="V478">
        <v>436</v>
      </c>
      <c r="W478">
        <v>0</v>
      </c>
      <c r="X478">
        <v>0</v>
      </c>
      <c r="Y478">
        <v>24</v>
      </c>
      <c r="Z478">
        <v>22</v>
      </c>
      <c r="AA478">
        <v>0</v>
      </c>
      <c r="AB478">
        <v>0</v>
      </c>
      <c r="AC478">
        <v>4</v>
      </c>
      <c r="AD478">
        <v>0</v>
      </c>
      <c r="AG478" t="s">
        <v>1</v>
      </c>
      <c r="AH478" t="s">
        <v>435</v>
      </c>
      <c r="AI478">
        <v>183</v>
      </c>
      <c r="AJ478">
        <v>60</v>
      </c>
      <c r="AK478">
        <v>76</v>
      </c>
      <c r="AL478">
        <v>7</v>
      </c>
      <c r="AM478">
        <v>3</v>
      </c>
      <c r="AN478" t="s">
        <v>49</v>
      </c>
      <c r="AO478">
        <v>0.97539149888143173</v>
      </c>
      <c r="AP478">
        <v>89</v>
      </c>
    </row>
    <row r="479" spans="1:42" x14ac:dyDescent="0.35">
      <c r="A479">
        <v>97847</v>
      </c>
      <c r="B479">
        <v>8619</v>
      </c>
      <c r="C479">
        <v>950876</v>
      </c>
      <c r="D479">
        <v>356</v>
      </c>
      <c r="E479" s="147">
        <v>44207</v>
      </c>
      <c r="F479" t="s">
        <v>517</v>
      </c>
      <c r="G479" t="s">
        <v>79</v>
      </c>
      <c r="H479" s="147">
        <v>44213</v>
      </c>
      <c r="I479">
        <v>7</v>
      </c>
      <c r="J479" t="s">
        <v>197</v>
      </c>
      <c r="L479">
        <v>0</v>
      </c>
      <c r="M479">
        <v>0</v>
      </c>
      <c r="U479">
        <v>504</v>
      </c>
      <c r="V479">
        <v>461</v>
      </c>
      <c r="W479">
        <v>0</v>
      </c>
      <c r="X479">
        <v>0</v>
      </c>
      <c r="Y479">
        <v>21</v>
      </c>
      <c r="Z479">
        <v>21</v>
      </c>
      <c r="AA479">
        <v>0</v>
      </c>
      <c r="AB479">
        <v>0</v>
      </c>
      <c r="AC479">
        <v>3</v>
      </c>
      <c r="AD479">
        <v>0</v>
      </c>
      <c r="AG479" t="s">
        <v>226</v>
      </c>
      <c r="AH479" t="s">
        <v>435</v>
      </c>
      <c r="AI479">
        <v>168</v>
      </c>
      <c r="AJ479">
        <v>31</v>
      </c>
      <c r="AK479">
        <v>74</v>
      </c>
      <c r="AL479">
        <v>4</v>
      </c>
      <c r="AM479">
        <v>2</v>
      </c>
      <c r="AN479" t="s">
        <v>49</v>
      </c>
      <c r="AO479">
        <v>0.91468253968253965</v>
      </c>
      <c r="AP479">
        <v>68</v>
      </c>
    </row>
    <row r="480" spans="1:42" x14ac:dyDescent="0.35">
      <c r="A480">
        <v>97850</v>
      </c>
      <c r="B480">
        <v>8619</v>
      </c>
      <c r="C480">
        <v>950879</v>
      </c>
      <c r="D480">
        <v>413</v>
      </c>
      <c r="E480" s="147">
        <v>44207</v>
      </c>
      <c r="F480" t="s">
        <v>520</v>
      </c>
      <c r="G480" t="s">
        <v>121</v>
      </c>
      <c r="H480" s="147">
        <v>44213</v>
      </c>
      <c r="I480">
        <v>7</v>
      </c>
      <c r="J480" t="s">
        <v>197</v>
      </c>
      <c r="L480">
        <v>0</v>
      </c>
      <c r="M480">
        <v>0</v>
      </c>
      <c r="U480">
        <v>649</v>
      </c>
      <c r="V480">
        <v>600</v>
      </c>
      <c r="W480">
        <v>0</v>
      </c>
      <c r="X480">
        <v>0</v>
      </c>
      <c r="Y480">
        <v>22</v>
      </c>
      <c r="Z480">
        <v>13</v>
      </c>
      <c r="AA480">
        <v>0</v>
      </c>
      <c r="AB480">
        <v>0</v>
      </c>
      <c r="AC480">
        <v>2</v>
      </c>
      <c r="AD480">
        <v>0</v>
      </c>
      <c r="AG480" t="s">
        <v>226</v>
      </c>
      <c r="AH480" t="s">
        <v>435</v>
      </c>
      <c r="AI480">
        <v>250</v>
      </c>
      <c r="AJ480">
        <v>72</v>
      </c>
      <c r="AK480">
        <v>120</v>
      </c>
      <c r="AL480">
        <v>7</v>
      </c>
      <c r="AM480">
        <v>10</v>
      </c>
      <c r="AN480" t="s">
        <v>49</v>
      </c>
      <c r="AO480">
        <v>0.92449922958397535</v>
      </c>
      <c r="AP480">
        <v>123</v>
      </c>
    </row>
    <row r="481" spans="1:42" x14ac:dyDescent="0.35">
      <c r="A481">
        <v>97872</v>
      </c>
      <c r="B481">
        <v>8619</v>
      </c>
      <c r="C481">
        <v>950901</v>
      </c>
      <c r="D481">
        <v>418</v>
      </c>
      <c r="E481" s="147">
        <v>44207</v>
      </c>
      <c r="F481" t="s">
        <v>514</v>
      </c>
      <c r="G481" t="s">
        <v>84</v>
      </c>
      <c r="H481" s="147">
        <v>44213</v>
      </c>
      <c r="I481">
        <v>7</v>
      </c>
      <c r="J481" t="s">
        <v>197</v>
      </c>
      <c r="L481">
        <v>0</v>
      </c>
      <c r="M481">
        <v>0</v>
      </c>
      <c r="U481">
        <v>666</v>
      </c>
      <c r="V481">
        <v>608</v>
      </c>
      <c r="W481">
        <v>0</v>
      </c>
      <c r="X481">
        <v>0</v>
      </c>
      <c r="Y481">
        <v>25</v>
      </c>
      <c r="Z481">
        <v>19</v>
      </c>
      <c r="AA481">
        <v>0</v>
      </c>
      <c r="AB481">
        <v>0</v>
      </c>
      <c r="AC481">
        <v>3</v>
      </c>
      <c r="AD481">
        <v>0</v>
      </c>
      <c r="AG481" t="s">
        <v>258</v>
      </c>
      <c r="AH481" t="s">
        <v>435</v>
      </c>
      <c r="AI481">
        <v>242</v>
      </c>
      <c r="AJ481">
        <v>62</v>
      </c>
      <c r="AK481">
        <v>122</v>
      </c>
      <c r="AL481">
        <v>9</v>
      </c>
      <c r="AM481">
        <v>3</v>
      </c>
      <c r="AN481" t="s">
        <v>49</v>
      </c>
      <c r="AO481">
        <v>0.91291291291291288</v>
      </c>
      <c r="AP481">
        <v>112</v>
      </c>
    </row>
    <row r="482" spans="1:42" x14ac:dyDescent="0.35">
      <c r="A482">
        <v>97935</v>
      </c>
      <c r="B482">
        <v>8619</v>
      </c>
      <c r="C482">
        <v>950964</v>
      </c>
      <c r="D482">
        <v>415</v>
      </c>
      <c r="E482" s="147">
        <v>44207</v>
      </c>
      <c r="F482" t="s">
        <v>525</v>
      </c>
      <c r="G482" t="s">
        <v>134</v>
      </c>
      <c r="H482" s="147">
        <v>44213</v>
      </c>
      <c r="I482">
        <v>7</v>
      </c>
      <c r="J482" t="s">
        <v>197</v>
      </c>
      <c r="L482">
        <v>0</v>
      </c>
      <c r="M482">
        <v>0</v>
      </c>
      <c r="U482">
        <v>409</v>
      </c>
      <c r="V482">
        <v>368</v>
      </c>
      <c r="W482">
        <v>0</v>
      </c>
      <c r="X482">
        <v>0</v>
      </c>
      <c r="Y482">
        <v>16</v>
      </c>
      <c r="Z482">
        <v>15</v>
      </c>
      <c r="AA482">
        <v>0</v>
      </c>
      <c r="AB482">
        <v>0</v>
      </c>
      <c r="AC482">
        <v>4</v>
      </c>
      <c r="AD482">
        <v>0</v>
      </c>
      <c r="AG482" t="s">
        <v>224</v>
      </c>
      <c r="AH482" t="s">
        <v>435</v>
      </c>
      <c r="AI482">
        <v>191</v>
      </c>
      <c r="AJ482">
        <v>81</v>
      </c>
      <c r="AK482">
        <v>43</v>
      </c>
      <c r="AL482">
        <v>1</v>
      </c>
      <c r="AM482">
        <v>1</v>
      </c>
      <c r="AN482" t="s">
        <v>49</v>
      </c>
      <c r="AO482">
        <v>0.89975550122249393</v>
      </c>
      <c r="AP482">
        <v>124</v>
      </c>
    </row>
    <row r="483" spans="1:42" x14ac:dyDescent="0.35">
      <c r="A483">
        <v>97053</v>
      </c>
      <c r="B483">
        <v>8619</v>
      </c>
      <c r="C483">
        <v>950082</v>
      </c>
      <c r="D483">
        <v>330</v>
      </c>
      <c r="E483" s="147">
        <v>44207</v>
      </c>
      <c r="F483" t="s">
        <v>555</v>
      </c>
      <c r="G483" t="s">
        <v>307</v>
      </c>
      <c r="H483" s="147">
        <v>44207</v>
      </c>
      <c r="I483">
        <v>7</v>
      </c>
      <c r="J483" t="s">
        <v>195</v>
      </c>
      <c r="L483">
        <v>0</v>
      </c>
      <c r="M483">
        <v>0</v>
      </c>
      <c r="U483">
        <v>1053</v>
      </c>
      <c r="V483">
        <v>943</v>
      </c>
      <c r="W483">
        <v>0</v>
      </c>
      <c r="X483">
        <v>0</v>
      </c>
      <c r="Y483">
        <v>38</v>
      </c>
      <c r="Z483">
        <v>36</v>
      </c>
      <c r="AA483">
        <v>0</v>
      </c>
      <c r="AB483">
        <v>0</v>
      </c>
      <c r="AC483">
        <v>22</v>
      </c>
      <c r="AD483">
        <v>15</v>
      </c>
      <c r="AG483" t="s">
        <v>291</v>
      </c>
      <c r="AH483" t="s">
        <v>435</v>
      </c>
      <c r="AI483">
        <v>418</v>
      </c>
      <c r="AJ483">
        <v>118</v>
      </c>
      <c r="AK483">
        <v>137</v>
      </c>
      <c r="AL483">
        <v>13</v>
      </c>
      <c r="AM483">
        <v>7</v>
      </c>
      <c r="AN483" t="s">
        <v>49</v>
      </c>
      <c r="AO483">
        <v>0.89553656220322886</v>
      </c>
      <c r="AP483">
        <v>226</v>
      </c>
    </row>
    <row r="484" spans="1:42" x14ac:dyDescent="0.35">
      <c r="A484">
        <v>97055</v>
      </c>
      <c r="B484">
        <v>8619</v>
      </c>
      <c r="C484">
        <v>950084</v>
      </c>
      <c r="D484">
        <v>482</v>
      </c>
      <c r="E484" s="147">
        <v>44207</v>
      </c>
      <c r="F484" t="s">
        <v>549</v>
      </c>
      <c r="G484" t="s">
        <v>86</v>
      </c>
      <c r="H484" s="147">
        <v>44207</v>
      </c>
      <c r="I484">
        <v>7</v>
      </c>
      <c r="J484" t="s">
        <v>195</v>
      </c>
      <c r="L484">
        <v>0</v>
      </c>
      <c r="M484">
        <v>0</v>
      </c>
      <c r="U484">
        <v>532</v>
      </c>
      <c r="V484">
        <v>458</v>
      </c>
      <c r="W484">
        <v>0</v>
      </c>
      <c r="X484">
        <v>0</v>
      </c>
      <c r="Y484">
        <v>32</v>
      </c>
      <c r="Z484">
        <v>30</v>
      </c>
      <c r="AA484">
        <v>0</v>
      </c>
      <c r="AB484">
        <v>0</v>
      </c>
      <c r="AC484">
        <v>10</v>
      </c>
      <c r="AD484">
        <v>3</v>
      </c>
      <c r="AG484" t="s">
        <v>291</v>
      </c>
      <c r="AH484" t="s">
        <v>435</v>
      </c>
      <c r="AI484">
        <v>221</v>
      </c>
      <c r="AJ484">
        <v>40</v>
      </c>
      <c r="AK484">
        <v>82</v>
      </c>
      <c r="AL484">
        <v>16</v>
      </c>
      <c r="AM484">
        <v>8</v>
      </c>
      <c r="AN484" t="s">
        <v>49</v>
      </c>
      <c r="AO484">
        <v>0.86090225563909772</v>
      </c>
      <c r="AP484">
        <v>95</v>
      </c>
    </row>
    <row r="485" spans="1:42" x14ac:dyDescent="0.35">
      <c r="A485">
        <v>97056</v>
      </c>
      <c r="B485">
        <v>8619</v>
      </c>
      <c r="C485">
        <v>950085</v>
      </c>
      <c r="D485">
        <v>342</v>
      </c>
      <c r="E485" s="147">
        <v>44207</v>
      </c>
      <c r="F485" t="s">
        <v>583</v>
      </c>
      <c r="G485" t="s">
        <v>259</v>
      </c>
      <c r="H485" s="147">
        <v>44207</v>
      </c>
      <c r="I485">
        <v>7</v>
      </c>
      <c r="J485" t="s">
        <v>195</v>
      </c>
      <c r="L485">
        <v>0</v>
      </c>
      <c r="M485">
        <v>0</v>
      </c>
      <c r="U485">
        <v>1016</v>
      </c>
      <c r="V485">
        <v>876</v>
      </c>
      <c r="W485">
        <v>0</v>
      </c>
      <c r="X485">
        <v>0</v>
      </c>
      <c r="Y485">
        <v>47</v>
      </c>
      <c r="Z485">
        <v>46</v>
      </c>
      <c r="AA485">
        <v>0</v>
      </c>
      <c r="AB485">
        <v>0</v>
      </c>
      <c r="AC485">
        <v>10</v>
      </c>
      <c r="AD485">
        <v>3</v>
      </c>
      <c r="AG485" t="s">
        <v>291</v>
      </c>
      <c r="AH485" t="s">
        <v>435</v>
      </c>
      <c r="AI485">
        <v>363</v>
      </c>
      <c r="AJ485">
        <v>104</v>
      </c>
      <c r="AK485">
        <v>167</v>
      </c>
      <c r="AL485">
        <v>23</v>
      </c>
      <c r="AM485">
        <v>15</v>
      </c>
      <c r="AN485" t="s">
        <v>49</v>
      </c>
      <c r="AO485">
        <v>0.86220472440944884</v>
      </c>
      <c r="AP485">
        <v>174</v>
      </c>
    </row>
    <row r="486" spans="1:42" x14ac:dyDescent="0.35">
      <c r="A486">
        <v>97058</v>
      </c>
      <c r="B486">
        <v>8619</v>
      </c>
      <c r="C486">
        <v>950087</v>
      </c>
      <c r="D486">
        <v>310</v>
      </c>
      <c r="E486" s="147">
        <v>44207</v>
      </c>
      <c r="F486" t="s">
        <v>550</v>
      </c>
      <c r="G486" t="s">
        <v>432</v>
      </c>
      <c r="H486" s="147">
        <v>44207</v>
      </c>
      <c r="I486">
        <v>7</v>
      </c>
      <c r="J486" t="s">
        <v>195</v>
      </c>
      <c r="L486">
        <v>0</v>
      </c>
      <c r="M486">
        <v>0</v>
      </c>
      <c r="U486">
        <v>1681</v>
      </c>
      <c r="V486">
        <v>1425</v>
      </c>
      <c r="W486">
        <v>0</v>
      </c>
      <c r="X486">
        <v>0</v>
      </c>
      <c r="Y486">
        <v>191</v>
      </c>
      <c r="Z486">
        <v>177</v>
      </c>
      <c r="AA486">
        <v>0</v>
      </c>
      <c r="AB486">
        <v>0</v>
      </c>
      <c r="AC486">
        <v>28</v>
      </c>
      <c r="AD486">
        <v>11</v>
      </c>
      <c r="AG486" t="s">
        <v>291</v>
      </c>
      <c r="AH486" t="s">
        <v>435</v>
      </c>
      <c r="AI486">
        <v>634</v>
      </c>
      <c r="AJ486">
        <v>161</v>
      </c>
      <c r="AK486">
        <v>249</v>
      </c>
      <c r="AL486">
        <v>31</v>
      </c>
      <c r="AM486">
        <v>18</v>
      </c>
      <c r="AN486" t="s">
        <v>49</v>
      </c>
      <c r="AO486">
        <v>0.84770969660916118</v>
      </c>
      <c r="AP486">
        <v>322</v>
      </c>
    </row>
    <row r="487" spans="1:42" x14ac:dyDescent="0.35">
      <c r="A487">
        <v>97060</v>
      </c>
      <c r="B487">
        <v>8619</v>
      </c>
      <c r="C487">
        <v>950089</v>
      </c>
      <c r="D487">
        <v>399</v>
      </c>
      <c r="E487" s="147">
        <v>44207</v>
      </c>
      <c r="F487" t="s">
        <v>584</v>
      </c>
      <c r="G487" t="s">
        <v>116</v>
      </c>
      <c r="H487" s="147">
        <v>44207</v>
      </c>
      <c r="I487">
        <v>7</v>
      </c>
      <c r="J487" t="s">
        <v>195</v>
      </c>
      <c r="L487">
        <v>0</v>
      </c>
      <c r="M487">
        <v>0</v>
      </c>
      <c r="U487">
        <v>896</v>
      </c>
      <c r="V487">
        <v>818</v>
      </c>
      <c r="W487">
        <v>0</v>
      </c>
      <c r="X487">
        <v>0</v>
      </c>
      <c r="Y487">
        <v>87</v>
      </c>
      <c r="Z487">
        <v>52</v>
      </c>
      <c r="AA487">
        <v>0</v>
      </c>
      <c r="AB487">
        <v>0</v>
      </c>
      <c r="AC487">
        <v>15</v>
      </c>
      <c r="AD487">
        <v>8</v>
      </c>
      <c r="AG487" t="s">
        <v>291</v>
      </c>
      <c r="AH487" t="s">
        <v>435</v>
      </c>
      <c r="AI487">
        <v>388</v>
      </c>
      <c r="AJ487">
        <v>108</v>
      </c>
      <c r="AK487">
        <v>126</v>
      </c>
      <c r="AL487">
        <v>16</v>
      </c>
      <c r="AM487">
        <v>2</v>
      </c>
      <c r="AN487" t="s">
        <v>49</v>
      </c>
      <c r="AO487">
        <v>0.9129464285714286</v>
      </c>
      <c r="AP487">
        <v>184</v>
      </c>
    </row>
    <row r="488" spans="1:42" x14ac:dyDescent="0.35">
      <c r="A488">
        <v>97061</v>
      </c>
      <c r="B488">
        <v>8619</v>
      </c>
      <c r="C488">
        <v>950090</v>
      </c>
      <c r="D488">
        <v>360</v>
      </c>
      <c r="E488" s="147">
        <v>44207</v>
      </c>
      <c r="F488" t="s">
        <v>585</v>
      </c>
      <c r="G488" t="s">
        <v>120</v>
      </c>
      <c r="H488" s="147">
        <v>44207</v>
      </c>
      <c r="I488">
        <v>7</v>
      </c>
      <c r="J488" t="s">
        <v>195</v>
      </c>
      <c r="L488">
        <v>0</v>
      </c>
      <c r="M488">
        <v>0</v>
      </c>
      <c r="U488">
        <v>811</v>
      </c>
      <c r="V488">
        <v>751</v>
      </c>
      <c r="W488">
        <v>0</v>
      </c>
      <c r="X488">
        <v>0</v>
      </c>
      <c r="Y488">
        <v>23</v>
      </c>
      <c r="Z488">
        <v>23</v>
      </c>
      <c r="AA488">
        <v>0</v>
      </c>
      <c r="AB488">
        <v>0</v>
      </c>
      <c r="AC488">
        <v>4</v>
      </c>
      <c r="AD488">
        <v>3</v>
      </c>
      <c r="AG488" t="s">
        <v>291</v>
      </c>
      <c r="AH488" t="s">
        <v>435</v>
      </c>
      <c r="AI488">
        <v>360</v>
      </c>
      <c r="AJ488">
        <v>112</v>
      </c>
      <c r="AK488">
        <v>108</v>
      </c>
      <c r="AL488">
        <v>29</v>
      </c>
      <c r="AM488">
        <v>16</v>
      </c>
      <c r="AN488" t="s">
        <v>49</v>
      </c>
      <c r="AO488">
        <v>0.92601726263871764</v>
      </c>
      <c r="AP488">
        <v>198</v>
      </c>
    </row>
    <row r="489" spans="1:42" x14ac:dyDescent="0.35">
      <c r="A489">
        <v>97062</v>
      </c>
      <c r="B489">
        <v>8619</v>
      </c>
      <c r="C489">
        <v>950091</v>
      </c>
      <c r="D489">
        <v>431</v>
      </c>
      <c r="E489" s="147">
        <v>44207</v>
      </c>
      <c r="F489" t="s">
        <v>586</v>
      </c>
      <c r="G489" t="s">
        <v>151</v>
      </c>
      <c r="H489" s="147">
        <v>44207</v>
      </c>
      <c r="I489">
        <v>7</v>
      </c>
      <c r="J489" t="s">
        <v>195</v>
      </c>
      <c r="L489">
        <v>0</v>
      </c>
      <c r="M489">
        <v>0</v>
      </c>
      <c r="U489">
        <v>357</v>
      </c>
      <c r="V489">
        <v>309</v>
      </c>
      <c r="W489">
        <v>0</v>
      </c>
      <c r="X489">
        <v>0</v>
      </c>
      <c r="Y489">
        <v>20</v>
      </c>
      <c r="Z489">
        <v>18</v>
      </c>
      <c r="AA489">
        <v>0</v>
      </c>
      <c r="AB489">
        <v>0</v>
      </c>
      <c r="AC489">
        <v>6</v>
      </c>
      <c r="AD489">
        <v>3</v>
      </c>
      <c r="AG489" t="s">
        <v>291</v>
      </c>
      <c r="AH489" t="s">
        <v>435</v>
      </c>
      <c r="AI489">
        <v>132</v>
      </c>
      <c r="AJ489">
        <v>37</v>
      </c>
      <c r="AK489">
        <v>59</v>
      </c>
      <c r="AL489">
        <v>20</v>
      </c>
      <c r="AM489">
        <v>13</v>
      </c>
      <c r="AN489" t="s">
        <v>49</v>
      </c>
      <c r="AO489">
        <v>0.86554621848739499</v>
      </c>
      <c r="AP489">
        <v>67</v>
      </c>
    </row>
    <row r="490" spans="1:42" x14ac:dyDescent="0.35">
      <c r="A490">
        <v>97064</v>
      </c>
      <c r="B490">
        <v>8619</v>
      </c>
      <c r="C490">
        <v>950093</v>
      </c>
      <c r="D490">
        <v>481</v>
      </c>
      <c r="E490" s="147">
        <v>44207</v>
      </c>
      <c r="F490" t="s">
        <v>551</v>
      </c>
      <c r="G490" t="s">
        <v>164</v>
      </c>
      <c r="H490" s="147">
        <v>44207</v>
      </c>
      <c r="I490">
        <v>7</v>
      </c>
      <c r="J490" t="s">
        <v>195</v>
      </c>
      <c r="L490">
        <v>0</v>
      </c>
      <c r="M490">
        <v>0</v>
      </c>
      <c r="U490">
        <v>633</v>
      </c>
      <c r="V490">
        <v>584</v>
      </c>
      <c r="W490">
        <v>0</v>
      </c>
      <c r="X490">
        <v>0</v>
      </c>
      <c r="Y490">
        <v>34</v>
      </c>
      <c r="Z490">
        <v>25</v>
      </c>
      <c r="AA490">
        <v>0</v>
      </c>
      <c r="AB490">
        <v>0</v>
      </c>
      <c r="AC490">
        <v>6</v>
      </c>
      <c r="AD490">
        <v>5</v>
      </c>
      <c r="AG490" t="s">
        <v>291</v>
      </c>
      <c r="AH490" t="s">
        <v>435</v>
      </c>
      <c r="AI490">
        <v>314</v>
      </c>
      <c r="AJ490">
        <v>95</v>
      </c>
      <c r="AK490">
        <v>86</v>
      </c>
      <c r="AL490">
        <v>18</v>
      </c>
      <c r="AM490">
        <v>16</v>
      </c>
      <c r="AN490" t="s">
        <v>49</v>
      </c>
      <c r="AO490">
        <v>0.92259083728278046</v>
      </c>
      <c r="AP490">
        <v>168</v>
      </c>
    </row>
    <row r="491" spans="1:42" x14ac:dyDescent="0.35">
      <c r="A491">
        <v>97066</v>
      </c>
      <c r="B491">
        <v>8619</v>
      </c>
      <c r="C491">
        <v>950095</v>
      </c>
      <c r="D491">
        <v>353</v>
      </c>
      <c r="E491" s="147">
        <v>44207</v>
      </c>
      <c r="F491" t="s">
        <v>548</v>
      </c>
      <c r="G491" t="s">
        <v>67</v>
      </c>
      <c r="H491" s="147">
        <v>44207</v>
      </c>
      <c r="I491">
        <v>7</v>
      </c>
      <c r="J491" t="s">
        <v>195</v>
      </c>
      <c r="L491">
        <v>0</v>
      </c>
      <c r="M491">
        <v>0</v>
      </c>
      <c r="U491">
        <v>945</v>
      </c>
      <c r="V491">
        <v>863</v>
      </c>
      <c r="W491">
        <v>0</v>
      </c>
      <c r="X491">
        <v>0</v>
      </c>
      <c r="Y491">
        <v>79</v>
      </c>
      <c r="Z491">
        <v>79</v>
      </c>
      <c r="AA491">
        <v>0</v>
      </c>
      <c r="AB491">
        <v>0</v>
      </c>
      <c r="AC491">
        <v>11</v>
      </c>
      <c r="AD491">
        <v>9</v>
      </c>
      <c r="AG491" t="s">
        <v>1</v>
      </c>
      <c r="AH491" t="s">
        <v>435</v>
      </c>
      <c r="AI491">
        <v>380</v>
      </c>
      <c r="AJ491">
        <v>86</v>
      </c>
      <c r="AK491">
        <v>137</v>
      </c>
      <c r="AL491">
        <v>17</v>
      </c>
      <c r="AM491">
        <v>3</v>
      </c>
      <c r="AN491" t="s">
        <v>49</v>
      </c>
      <c r="AO491">
        <v>0.91322751322751328</v>
      </c>
      <c r="AP491">
        <v>179</v>
      </c>
    </row>
    <row r="492" spans="1:42" x14ac:dyDescent="0.35">
      <c r="A492">
        <v>97076</v>
      </c>
      <c r="B492">
        <v>8619</v>
      </c>
      <c r="C492">
        <v>950105</v>
      </c>
      <c r="D492">
        <v>374</v>
      </c>
      <c r="E492" s="147">
        <v>44207</v>
      </c>
      <c r="F492" t="s">
        <v>556</v>
      </c>
      <c r="G492" t="s">
        <v>109</v>
      </c>
      <c r="H492" s="147">
        <v>44207</v>
      </c>
      <c r="I492">
        <v>7</v>
      </c>
      <c r="J492" t="s">
        <v>195</v>
      </c>
      <c r="L492">
        <v>0</v>
      </c>
      <c r="M492">
        <v>0</v>
      </c>
      <c r="U492">
        <v>889</v>
      </c>
      <c r="V492">
        <v>862</v>
      </c>
      <c r="W492">
        <v>0</v>
      </c>
      <c r="X492">
        <v>0</v>
      </c>
      <c r="Y492">
        <v>48</v>
      </c>
      <c r="Z492">
        <v>45</v>
      </c>
      <c r="AA492">
        <v>0</v>
      </c>
      <c r="AB492">
        <v>0</v>
      </c>
      <c r="AC492">
        <v>5</v>
      </c>
      <c r="AD492">
        <v>1</v>
      </c>
      <c r="AG492" t="s">
        <v>1</v>
      </c>
      <c r="AH492" t="s">
        <v>435</v>
      </c>
      <c r="AI492">
        <v>371</v>
      </c>
      <c r="AJ492">
        <v>137</v>
      </c>
      <c r="AK492">
        <v>120</v>
      </c>
      <c r="AL492">
        <v>7</v>
      </c>
      <c r="AM492">
        <v>5</v>
      </c>
      <c r="AN492" t="s">
        <v>49</v>
      </c>
      <c r="AO492">
        <v>0.96962879640044997</v>
      </c>
      <c r="AP492">
        <v>208</v>
      </c>
    </row>
    <row r="493" spans="1:42" x14ac:dyDescent="0.35">
      <c r="A493">
        <v>97077</v>
      </c>
      <c r="B493">
        <v>8619</v>
      </c>
      <c r="C493">
        <v>950106</v>
      </c>
      <c r="D493">
        <v>25507</v>
      </c>
      <c r="E493" s="147">
        <v>44207</v>
      </c>
      <c r="F493" t="s">
        <v>553</v>
      </c>
      <c r="G493" t="s">
        <v>221</v>
      </c>
      <c r="H493" s="147">
        <v>44207</v>
      </c>
      <c r="I493">
        <v>7</v>
      </c>
      <c r="J493" t="s">
        <v>195</v>
      </c>
      <c r="L493">
        <v>0</v>
      </c>
      <c r="M493">
        <v>0</v>
      </c>
      <c r="U493">
        <v>937</v>
      </c>
      <c r="V493">
        <v>851</v>
      </c>
      <c r="W493">
        <v>0</v>
      </c>
      <c r="X493">
        <v>0</v>
      </c>
      <c r="Y493">
        <v>102</v>
      </c>
      <c r="Z493">
        <v>78</v>
      </c>
      <c r="AA493">
        <v>0</v>
      </c>
      <c r="AB493">
        <v>0</v>
      </c>
      <c r="AC493">
        <v>5</v>
      </c>
      <c r="AD493">
        <v>5</v>
      </c>
      <c r="AG493" t="s">
        <v>1</v>
      </c>
      <c r="AH493" t="s">
        <v>435</v>
      </c>
      <c r="AI493">
        <v>408</v>
      </c>
      <c r="AJ493">
        <v>121</v>
      </c>
      <c r="AK493">
        <v>152</v>
      </c>
      <c r="AL493">
        <v>15</v>
      </c>
      <c r="AM493">
        <v>4</v>
      </c>
      <c r="AN493" t="s">
        <v>49</v>
      </c>
      <c r="AO493">
        <v>0.90821771611526148</v>
      </c>
      <c r="AP493">
        <v>205</v>
      </c>
    </row>
    <row r="494" spans="1:42" x14ac:dyDescent="0.35">
      <c r="A494">
        <v>97078</v>
      </c>
      <c r="B494">
        <v>8619</v>
      </c>
      <c r="C494">
        <v>950107</v>
      </c>
      <c r="D494">
        <v>313</v>
      </c>
      <c r="E494" s="147">
        <v>44207</v>
      </c>
      <c r="F494" t="s">
        <v>538</v>
      </c>
      <c r="G494" t="s">
        <v>118</v>
      </c>
      <c r="H494" s="147">
        <v>44207</v>
      </c>
      <c r="I494">
        <v>7</v>
      </c>
      <c r="J494" t="s">
        <v>195</v>
      </c>
      <c r="L494">
        <v>0</v>
      </c>
      <c r="M494">
        <v>0</v>
      </c>
      <c r="U494">
        <v>468</v>
      </c>
      <c r="V494">
        <v>446</v>
      </c>
      <c r="W494">
        <v>0</v>
      </c>
      <c r="X494">
        <v>0</v>
      </c>
      <c r="Y494">
        <v>20</v>
      </c>
      <c r="Z494">
        <v>20</v>
      </c>
      <c r="AA494">
        <v>0</v>
      </c>
      <c r="AB494">
        <v>0</v>
      </c>
      <c r="AC494">
        <v>6</v>
      </c>
      <c r="AD494">
        <v>6</v>
      </c>
      <c r="AG494" t="s">
        <v>1</v>
      </c>
      <c r="AH494" t="s">
        <v>435</v>
      </c>
      <c r="AI494">
        <v>203</v>
      </c>
      <c r="AJ494">
        <v>54</v>
      </c>
      <c r="AK494">
        <v>88</v>
      </c>
      <c r="AL494">
        <v>9</v>
      </c>
      <c r="AM494">
        <v>4</v>
      </c>
      <c r="AN494" t="s">
        <v>49</v>
      </c>
      <c r="AO494">
        <v>0.95299145299145294</v>
      </c>
      <c r="AP494">
        <v>0</v>
      </c>
    </row>
    <row r="495" spans="1:42" x14ac:dyDescent="0.35">
      <c r="A495">
        <v>97082</v>
      </c>
      <c r="B495">
        <v>8619</v>
      </c>
      <c r="C495">
        <v>950111</v>
      </c>
      <c r="D495">
        <v>444</v>
      </c>
      <c r="E495" s="147">
        <v>44207</v>
      </c>
      <c r="F495" t="s">
        <v>534</v>
      </c>
      <c r="G495" t="s">
        <v>156</v>
      </c>
      <c r="H495" s="147">
        <v>44207</v>
      </c>
      <c r="I495">
        <v>7</v>
      </c>
      <c r="J495" t="s">
        <v>195</v>
      </c>
      <c r="L495">
        <v>0</v>
      </c>
      <c r="M495">
        <v>0</v>
      </c>
      <c r="U495">
        <v>506</v>
      </c>
      <c r="V495">
        <v>467</v>
      </c>
      <c r="W495">
        <v>0</v>
      </c>
      <c r="X495">
        <v>0</v>
      </c>
      <c r="Y495">
        <v>109</v>
      </c>
      <c r="Z495">
        <v>92</v>
      </c>
      <c r="AA495">
        <v>0</v>
      </c>
      <c r="AB495">
        <v>0</v>
      </c>
      <c r="AC495">
        <v>32</v>
      </c>
      <c r="AD495">
        <v>21</v>
      </c>
      <c r="AG495" t="s">
        <v>1</v>
      </c>
      <c r="AH495" t="s">
        <v>435</v>
      </c>
      <c r="AI495">
        <v>202</v>
      </c>
      <c r="AJ495">
        <v>81</v>
      </c>
      <c r="AK495">
        <v>42</v>
      </c>
      <c r="AL495">
        <v>0</v>
      </c>
      <c r="AM495">
        <v>2</v>
      </c>
      <c r="AN495" t="s">
        <v>49</v>
      </c>
      <c r="AO495">
        <v>0.92292490118577075</v>
      </c>
      <c r="AP495">
        <v>112</v>
      </c>
    </row>
    <row r="496" spans="1:42" x14ac:dyDescent="0.35">
      <c r="A496">
        <v>97088</v>
      </c>
      <c r="B496">
        <v>8619</v>
      </c>
      <c r="C496">
        <v>950117</v>
      </c>
      <c r="D496">
        <v>413</v>
      </c>
      <c r="E496" s="147">
        <v>44207</v>
      </c>
      <c r="F496" t="s">
        <v>520</v>
      </c>
      <c r="G496" t="s">
        <v>121</v>
      </c>
      <c r="H496" s="147">
        <v>44207</v>
      </c>
      <c r="I496">
        <v>7</v>
      </c>
      <c r="J496" t="s">
        <v>195</v>
      </c>
      <c r="L496">
        <v>0</v>
      </c>
      <c r="M496">
        <v>0</v>
      </c>
      <c r="U496">
        <v>631</v>
      </c>
      <c r="V496">
        <v>597</v>
      </c>
      <c r="W496">
        <v>0</v>
      </c>
      <c r="X496">
        <v>0</v>
      </c>
      <c r="Y496">
        <v>22</v>
      </c>
      <c r="Z496">
        <v>13</v>
      </c>
      <c r="AA496">
        <v>0</v>
      </c>
      <c r="AB496">
        <v>0</v>
      </c>
      <c r="AC496">
        <v>2</v>
      </c>
      <c r="AD496">
        <v>1</v>
      </c>
      <c r="AG496" t="s">
        <v>226</v>
      </c>
      <c r="AH496" t="s">
        <v>435</v>
      </c>
      <c r="AI496">
        <v>277</v>
      </c>
      <c r="AJ496">
        <v>73</v>
      </c>
      <c r="AK496">
        <v>88</v>
      </c>
      <c r="AL496">
        <v>11</v>
      </c>
      <c r="AM496">
        <v>13</v>
      </c>
      <c r="AN496" t="s">
        <v>49</v>
      </c>
      <c r="AO496">
        <v>0.9461172741679873</v>
      </c>
      <c r="AP496">
        <v>149</v>
      </c>
    </row>
    <row r="497" spans="1:42" x14ac:dyDescent="0.35">
      <c r="A497">
        <v>97090</v>
      </c>
      <c r="B497">
        <v>8619</v>
      </c>
      <c r="C497">
        <v>950119</v>
      </c>
      <c r="D497">
        <v>507</v>
      </c>
      <c r="E497" s="147">
        <v>44207</v>
      </c>
      <c r="F497" t="s">
        <v>565</v>
      </c>
      <c r="G497" t="s">
        <v>135</v>
      </c>
      <c r="H497" s="147">
        <v>44207</v>
      </c>
      <c r="I497">
        <v>7</v>
      </c>
      <c r="J497" t="s">
        <v>195</v>
      </c>
      <c r="L497">
        <v>0</v>
      </c>
      <c r="M497">
        <v>0</v>
      </c>
      <c r="U497">
        <v>651</v>
      </c>
      <c r="V497">
        <v>554</v>
      </c>
      <c r="W497">
        <v>0</v>
      </c>
      <c r="X497">
        <v>0</v>
      </c>
      <c r="Y497">
        <v>34</v>
      </c>
      <c r="Z497">
        <v>34</v>
      </c>
      <c r="AA497">
        <v>0</v>
      </c>
      <c r="AB497">
        <v>0</v>
      </c>
      <c r="AC497">
        <v>10</v>
      </c>
      <c r="AD497">
        <v>6</v>
      </c>
      <c r="AG497" t="s">
        <v>226</v>
      </c>
      <c r="AH497" t="s">
        <v>435</v>
      </c>
      <c r="AI497">
        <v>291</v>
      </c>
      <c r="AJ497">
        <v>66</v>
      </c>
      <c r="AK497">
        <v>142</v>
      </c>
      <c r="AL497">
        <v>16</v>
      </c>
      <c r="AM497">
        <v>9</v>
      </c>
      <c r="AN497" t="s">
        <v>49</v>
      </c>
      <c r="AO497">
        <v>0.85099846390168976</v>
      </c>
      <c r="AP497">
        <v>132</v>
      </c>
    </row>
    <row r="498" spans="1:42" x14ac:dyDescent="0.35">
      <c r="A498">
        <v>97092</v>
      </c>
      <c r="B498">
        <v>8619</v>
      </c>
      <c r="C498">
        <v>950121</v>
      </c>
      <c r="D498">
        <v>516</v>
      </c>
      <c r="E498" s="147">
        <v>44207</v>
      </c>
      <c r="F498" t="s">
        <v>587</v>
      </c>
      <c r="G498" t="s">
        <v>139</v>
      </c>
      <c r="H498" s="147">
        <v>44207</v>
      </c>
      <c r="I498">
        <v>7</v>
      </c>
      <c r="J498" t="s">
        <v>195</v>
      </c>
      <c r="L498">
        <v>0</v>
      </c>
      <c r="M498">
        <v>0</v>
      </c>
      <c r="U498">
        <v>735</v>
      </c>
      <c r="V498">
        <v>598</v>
      </c>
      <c r="W498">
        <v>0</v>
      </c>
      <c r="X498">
        <v>0</v>
      </c>
      <c r="Y498">
        <v>17</v>
      </c>
      <c r="Z498">
        <v>16</v>
      </c>
      <c r="AA498">
        <v>0</v>
      </c>
      <c r="AB498">
        <v>0</v>
      </c>
      <c r="AC498">
        <v>6</v>
      </c>
      <c r="AD498">
        <v>2</v>
      </c>
      <c r="AG498" t="s">
        <v>226</v>
      </c>
      <c r="AH498" t="s">
        <v>435</v>
      </c>
      <c r="AI498">
        <v>274</v>
      </c>
      <c r="AJ498">
        <v>63</v>
      </c>
      <c r="AK498">
        <v>118</v>
      </c>
      <c r="AL498">
        <v>22</v>
      </c>
      <c r="AM498">
        <v>15</v>
      </c>
      <c r="AN498" t="s">
        <v>49</v>
      </c>
      <c r="AO498">
        <v>0.8136054421768707</v>
      </c>
      <c r="AP498">
        <v>128</v>
      </c>
    </row>
    <row r="499" spans="1:42" x14ac:dyDescent="0.35">
      <c r="A499">
        <v>97094</v>
      </c>
      <c r="B499">
        <v>8619</v>
      </c>
      <c r="C499">
        <v>950123</v>
      </c>
      <c r="D499">
        <v>408</v>
      </c>
      <c r="E499" s="147">
        <v>44207</v>
      </c>
      <c r="F499" t="s">
        <v>588</v>
      </c>
      <c r="G499" t="s">
        <v>148</v>
      </c>
      <c r="H499" s="147">
        <v>44207</v>
      </c>
      <c r="I499">
        <v>7</v>
      </c>
      <c r="J499" t="s">
        <v>195</v>
      </c>
      <c r="L499">
        <v>0</v>
      </c>
      <c r="M499">
        <v>0</v>
      </c>
      <c r="U499">
        <v>630</v>
      </c>
      <c r="V499">
        <v>563</v>
      </c>
      <c r="W499">
        <v>0</v>
      </c>
      <c r="X499">
        <v>0</v>
      </c>
      <c r="Y499">
        <v>22</v>
      </c>
      <c r="Z499">
        <v>18</v>
      </c>
      <c r="AA499">
        <v>0</v>
      </c>
      <c r="AB499">
        <v>0</v>
      </c>
      <c r="AC499">
        <v>18</v>
      </c>
      <c r="AD499">
        <v>11</v>
      </c>
      <c r="AG499" t="s">
        <v>226</v>
      </c>
      <c r="AH499" t="s">
        <v>435</v>
      </c>
      <c r="AI499">
        <v>248</v>
      </c>
      <c r="AJ499">
        <v>82</v>
      </c>
      <c r="AK499">
        <v>109</v>
      </c>
      <c r="AL499">
        <v>12</v>
      </c>
      <c r="AM499">
        <v>34</v>
      </c>
      <c r="AN499" t="s">
        <v>49</v>
      </c>
      <c r="AO499">
        <v>0.8936507936507937</v>
      </c>
      <c r="AP499">
        <v>127</v>
      </c>
    </row>
    <row r="500" spans="1:42" x14ac:dyDescent="0.35">
      <c r="A500">
        <v>97095</v>
      </c>
      <c r="B500">
        <v>8619</v>
      </c>
      <c r="C500">
        <v>950124</v>
      </c>
      <c r="D500">
        <v>393</v>
      </c>
      <c r="E500" s="147">
        <v>44207</v>
      </c>
      <c r="F500" t="s">
        <v>566</v>
      </c>
      <c r="G500" t="s">
        <v>153</v>
      </c>
      <c r="H500" s="147">
        <v>44207</v>
      </c>
      <c r="I500">
        <v>7</v>
      </c>
      <c r="J500" t="s">
        <v>195</v>
      </c>
      <c r="L500">
        <v>0</v>
      </c>
      <c r="M500">
        <v>0</v>
      </c>
      <c r="U500">
        <v>878</v>
      </c>
      <c r="V500">
        <v>691</v>
      </c>
      <c r="W500">
        <v>0</v>
      </c>
      <c r="X500">
        <v>0</v>
      </c>
      <c r="Y500">
        <v>30</v>
      </c>
      <c r="Z500">
        <v>30</v>
      </c>
      <c r="AA500">
        <v>0</v>
      </c>
      <c r="AB500">
        <v>0</v>
      </c>
      <c r="AC500">
        <v>14</v>
      </c>
      <c r="AD500">
        <v>13</v>
      </c>
      <c r="AG500" t="s">
        <v>226</v>
      </c>
      <c r="AH500" t="s">
        <v>435</v>
      </c>
      <c r="AI500">
        <v>358</v>
      </c>
      <c r="AJ500">
        <v>131</v>
      </c>
      <c r="AK500">
        <v>137</v>
      </c>
      <c r="AL500">
        <v>23</v>
      </c>
      <c r="AM500">
        <v>26</v>
      </c>
      <c r="AN500" t="s">
        <v>49</v>
      </c>
      <c r="AO500">
        <v>0.78701594533029617</v>
      </c>
      <c r="AP500">
        <v>216</v>
      </c>
    </row>
    <row r="501" spans="1:42" x14ac:dyDescent="0.35">
      <c r="A501">
        <v>97096</v>
      </c>
      <c r="B501">
        <v>8619</v>
      </c>
      <c r="C501">
        <v>950125</v>
      </c>
      <c r="D501">
        <v>478</v>
      </c>
      <c r="E501" s="147">
        <v>44207</v>
      </c>
      <c r="F501" t="s">
        <v>589</v>
      </c>
      <c r="G501" t="s">
        <v>155</v>
      </c>
      <c r="H501" s="147">
        <v>44207</v>
      </c>
      <c r="I501">
        <v>7</v>
      </c>
      <c r="J501" t="s">
        <v>195</v>
      </c>
      <c r="L501">
        <v>0</v>
      </c>
      <c r="M501">
        <v>0</v>
      </c>
      <c r="U501">
        <v>891</v>
      </c>
      <c r="V501">
        <v>770</v>
      </c>
      <c r="W501">
        <v>0</v>
      </c>
      <c r="X501">
        <v>0</v>
      </c>
      <c r="Y501">
        <v>25</v>
      </c>
      <c r="Z501">
        <v>23</v>
      </c>
      <c r="AA501">
        <v>0</v>
      </c>
      <c r="AB501">
        <v>0</v>
      </c>
      <c r="AC501">
        <v>23</v>
      </c>
      <c r="AD501">
        <v>12</v>
      </c>
      <c r="AG501" t="s">
        <v>226</v>
      </c>
      <c r="AH501" t="s">
        <v>435</v>
      </c>
      <c r="AI501">
        <v>305</v>
      </c>
      <c r="AJ501">
        <v>86</v>
      </c>
      <c r="AK501">
        <v>142</v>
      </c>
      <c r="AL501">
        <v>22</v>
      </c>
      <c r="AM501">
        <v>5</v>
      </c>
      <c r="AN501" t="s">
        <v>49</v>
      </c>
      <c r="AO501">
        <v>0.86419753086419748</v>
      </c>
      <c r="AP501">
        <v>139</v>
      </c>
    </row>
    <row r="502" spans="1:42" x14ac:dyDescent="0.35">
      <c r="A502">
        <v>97097</v>
      </c>
      <c r="B502">
        <v>8619</v>
      </c>
      <c r="C502">
        <v>950126</v>
      </c>
      <c r="D502">
        <v>441</v>
      </c>
      <c r="E502" s="147">
        <v>44207</v>
      </c>
      <c r="F502" t="s">
        <v>590</v>
      </c>
      <c r="G502" t="s">
        <v>158</v>
      </c>
      <c r="H502" s="147">
        <v>44207</v>
      </c>
      <c r="I502">
        <v>7</v>
      </c>
      <c r="J502" t="s">
        <v>195</v>
      </c>
      <c r="L502">
        <v>0</v>
      </c>
      <c r="M502">
        <v>0</v>
      </c>
      <c r="U502">
        <v>2421</v>
      </c>
      <c r="V502">
        <v>2246</v>
      </c>
      <c r="W502">
        <v>0</v>
      </c>
      <c r="X502">
        <v>0</v>
      </c>
      <c r="Y502">
        <v>147</v>
      </c>
      <c r="Z502">
        <v>147</v>
      </c>
      <c r="AA502">
        <v>0</v>
      </c>
      <c r="AB502">
        <v>0</v>
      </c>
      <c r="AC502">
        <v>9</v>
      </c>
      <c r="AD502">
        <v>9</v>
      </c>
      <c r="AG502" t="s">
        <v>226</v>
      </c>
      <c r="AH502" t="s">
        <v>435</v>
      </c>
      <c r="AI502">
        <v>1283</v>
      </c>
      <c r="AJ502">
        <v>434</v>
      </c>
      <c r="AK502">
        <v>375</v>
      </c>
      <c r="AL502">
        <v>53</v>
      </c>
      <c r="AM502">
        <v>78</v>
      </c>
      <c r="AN502" t="s">
        <v>49</v>
      </c>
      <c r="AO502">
        <v>0.92771581990912844</v>
      </c>
      <c r="AP502">
        <v>705</v>
      </c>
    </row>
    <row r="503" spans="1:42" x14ac:dyDescent="0.35">
      <c r="A503">
        <v>97098</v>
      </c>
      <c r="B503">
        <v>8619</v>
      </c>
      <c r="C503">
        <v>950127</v>
      </c>
      <c r="D503">
        <v>389</v>
      </c>
      <c r="E503" s="147">
        <v>44207</v>
      </c>
      <c r="F503" t="s">
        <v>563</v>
      </c>
      <c r="G503" t="s">
        <v>159</v>
      </c>
      <c r="H503" s="147">
        <v>44207</v>
      </c>
      <c r="I503">
        <v>7</v>
      </c>
      <c r="J503" t="s">
        <v>195</v>
      </c>
      <c r="L503">
        <v>0</v>
      </c>
      <c r="M503">
        <v>0</v>
      </c>
      <c r="U503">
        <v>1025</v>
      </c>
      <c r="V503">
        <v>986</v>
      </c>
      <c r="W503">
        <v>0</v>
      </c>
      <c r="X503">
        <v>0</v>
      </c>
      <c r="Y503">
        <v>59</v>
      </c>
      <c r="Z503">
        <v>45</v>
      </c>
      <c r="AA503">
        <v>0</v>
      </c>
      <c r="AB503">
        <v>0</v>
      </c>
      <c r="AC503">
        <v>27</v>
      </c>
      <c r="AD503">
        <v>22</v>
      </c>
      <c r="AG503" t="s">
        <v>226</v>
      </c>
      <c r="AH503" t="s">
        <v>435</v>
      </c>
      <c r="AI503">
        <v>365</v>
      </c>
      <c r="AJ503">
        <v>124</v>
      </c>
      <c r="AK503">
        <v>120</v>
      </c>
      <c r="AL503">
        <v>27</v>
      </c>
      <c r="AM503">
        <v>36</v>
      </c>
      <c r="AN503" t="s">
        <v>49</v>
      </c>
      <c r="AO503">
        <v>0.96195121951219509</v>
      </c>
      <c r="AP503">
        <v>203</v>
      </c>
    </row>
    <row r="504" spans="1:42" x14ac:dyDescent="0.35">
      <c r="A504">
        <v>97099</v>
      </c>
      <c r="B504">
        <v>8619</v>
      </c>
      <c r="C504">
        <v>950128</v>
      </c>
      <c r="D504">
        <v>453</v>
      </c>
      <c r="E504" s="147">
        <v>44207</v>
      </c>
      <c r="F504" t="s">
        <v>564</v>
      </c>
      <c r="G504" t="s">
        <v>225</v>
      </c>
      <c r="H504" s="147">
        <v>44207</v>
      </c>
      <c r="I504">
        <v>7</v>
      </c>
      <c r="J504" t="s">
        <v>195</v>
      </c>
      <c r="L504">
        <v>0</v>
      </c>
      <c r="M504">
        <v>0</v>
      </c>
      <c r="U504">
        <v>1287</v>
      </c>
      <c r="V504">
        <v>1162</v>
      </c>
      <c r="W504">
        <v>0</v>
      </c>
      <c r="X504">
        <v>0</v>
      </c>
      <c r="Y504">
        <v>71</v>
      </c>
      <c r="Z504">
        <v>48</v>
      </c>
      <c r="AA504">
        <v>0</v>
      </c>
      <c r="AB504">
        <v>0</v>
      </c>
      <c r="AC504">
        <v>25</v>
      </c>
      <c r="AD504">
        <v>14</v>
      </c>
      <c r="AG504" t="s">
        <v>226</v>
      </c>
      <c r="AH504" t="s">
        <v>435</v>
      </c>
      <c r="AI504">
        <v>476</v>
      </c>
      <c r="AJ504">
        <v>146</v>
      </c>
      <c r="AK504">
        <v>167</v>
      </c>
      <c r="AL504">
        <v>21</v>
      </c>
      <c r="AM504">
        <v>1</v>
      </c>
      <c r="AN504" t="s">
        <v>49</v>
      </c>
      <c r="AO504">
        <v>0.90287490287490291</v>
      </c>
      <c r="AP504">
        <v>233</v>
      </c>
    </row>
    <row r="505" spans="1:42" x14ac:dyDescent="0.35">
      <c r="A505">
        <v>97113</v>
      </c>
      <c r="B505">
        <v>8619</v>
      </c>
      <c r="C505">
        <v>950142</v>
      </c>
      <c r="D505">
        <v>477</v>
      </c>
      <c r="E505" s="147">
        <v>44207</v>
      </c>
      <c r="F505" t="s">
        <v>578</v>
      </c>
      <c r="G505" t="s">
        <v>260</v>
      </c>
      <c r="H505" s="147">
        <v>44207</v>
      </c>
      <c r="I505">
        <v>7</v>
      </c>
      <c r="J505" t="s">
        <v>195</v>
      </c>
      <c r="L505">
        <v>0</v>
      </c>
      <c r="M505">
        <v>0</v>
      </c>
      <c r="U505">
        <v>869</v>
      </c>
      <c r="V505">
        <v>761</v>
      </c>
      <c r="W505">
        <v>0</v>
      </c>
      <c r="X505">
        <v>0</v>
      </c>
      <c r="Y505">
        <v>73</v>
      </c>
      <c r="Z505">
        <v>46</v>
      </c>
      <c r="AA505">
        <v>0</v>
      </c>
      <c r="AB505">
        <v>0</v>
      </c>
      <c r="AC505">
        <v>5</v>
      </c>
      <c r="AD505">
        <v>4</v>
      </c>
      <c r="AG505" t="s">
        <v>258</v>
      </c>
      <c r="AH505" t="s">
        <v>435</v>
      </c>
      <c r="AI505">
        <v>324</v>
      </c>
      <c r="AJ505">
        <v>101</v>
      </c>
      <c r="AK505">
        <v>101</v>
      </c>
      <c r="AL505">
        <v>20</v>
      </c>
      <c r="AM505">
        <v>3</v>
      </c>
      <c r="AN505" t="s">
        <v>49</v>
      </c>
      <c r="AO505">
        <v>0.87571921749136938</v>
      </c>
      <c r="AP505">
        <v>170</v>
      </c>
    </row>
    <row r="506" spans="1:42" x14ac:dyDescent="0.35">
      <c r="A506">
        <v>97115</v>
      </c>
      <c r="B506">
        <v>8619</v>
      </c>
      <c r="C506">
        <v>950144</v>
      </c>
      <c r="D506">
        <v>504</v>
      </c>
      <c r="E506" s="147">
        <v>44207</v>
      </c>
      <c r="F506" t="s">
        <v>576</v>
      </c>
      <c r="G506" t="s">
        <v>114</v>
      </c>
      <c r="H506" s="147">
        <v>44207</v>
      </c>
      <c r="I506">
        <v>7</v>
      </c>
      <c r="J506" t="s">
        <v>195</v>
      </c>
      <c r="L506">
        <v>0</v>
      </c>
      <c r="M506">
        <v>0</v>
      </c>
      <c r="U506">
        <v>871</v>
      </c>
      <c r="V506">
        <v>857</v>
      </c>
      <c r="W506">
        <v>0</v>
      </c>
      <c r="X506">
        <v>0</v>
      </c>
      <c r="Y506">
        <v>28</v>
      </c>
      <c r="Z506">
        <v>13</v>
      </c>
      <c r="AA506">
        <v>0</v>
      </c>
      <c r="AB506">
        <v>0</v>
      </c>
      <c r="AC506">
        <v>7</v>
      </c>
      <c r="AD506">
        <v>5</v>
      </c>
      <c r="AG506" t="s">
        <v>258</v>
      </c>
      <c r="AH506" t="s">
        <v>435</v>
      </c>
      <c r="AI506">
        <v>400</v>
      </c>
      <c r="AJ506">
        <v>138</v>
      </c>
      <c r="AK506">
        <v>148</v>
      </c>
      <c r="AL506">
        <v>9</v>
      </c>
      <c r="AM506">
        <v>6</v>
      </c>
      <c r="AN506" t="s">
        <v>49</v>
      </c>
      <c r="AO506">
        <v>0.98392652123995405</v>
      </c>
      <c r="AP506">
        <v>223</v>
      </c>
    </row>
    <row r="507" spans="1:42" x14ac:dyDescent="0.35">
      <c r="A507">
        <v>97119</v>
      </c>
      <c r="B507">
        <v>8619</v>
      </c>
      <c r="C507">
        <v>950148</v>
      </c>
      <c r="D507">
        <v>452</v>
      </c>
      <c r="E507" s="147">
        <v>44207</v>
      </c>
      <c r="F507" t="s">
        <v>577</v>
      </c>
      <c r="G507" t="s">
        <v>124</v>
      </c>
      <c r="H507" s="147">
        <v>44207</v>
      </c>
      <c r="I507">
        <v>7</v>
      </c>
      <c r="J507" t="s">
        <v>195</v>
      </c>
      <c r="L507">
        <v>0</v>
      </c>
      <c r="M507">
        <v>0</v>
      </c>
      <c r="U507">
        <v>841</v>
      </c>
      <c r="V507">
        <v>698</v>
      </c>
      <c r="W507">
        <v>0</v>
      </c>
      <c r="X507">
        <v>0</v>
      </c>
      <c r="Y507">
        <v>15</v>
      </c>
      <c r="Z507">
        <v>12</v>
      </c>
      <c r="AA507">
        <v>0</v>
      </c>
      <c r="AB507">
        <v>0</v>
      </c>
      <c r="AC507">
        <v>12</v>
      </c>
      <c r="AD507">
        <v>5</v>
      </c>
      <c r="AG507" t="s">
        <v>258</v>
      </c>
      <c r="AH507" t="s">
        <v>435</v>
      </c>
      <c r="AI507">
        <v>318</v>
      </c>
      <c r="AJ507">
        <v>105</v>
      </c>
      <c r="AK507">
        <v>105</v>
      </c>
      <c r="AL507">
        <v>12</v>
      </c>
      <c r="AM507">
        <v>2</v>
      </c>
      <c r="AN507" t="s">
        <v>49</v>
      </c>
      <c r="AO507">
        <v>0.82996432818073718</v>
      </c>
      <c r="AP507">
        <v>170</v>
      </c>
    </row>
    <row r="508" spans="1:42" x14ac:dyDescent="0.35">
      <c r="A508">
        <v>97123</v>
      </c>
      <c r="B508">
        <v>8619</v>
      </c>
      <c r="C508">
        <v>950152</v>
      </c>
      <c r="D508">
        <v>25511</v>
      </c>
      <c r="E508" s="147">
        <v>44207</v>
      </c>
      <c r="F508" t="s">
        <v>579</v>
      </c>
      <c r="G508" t="s">
        <v>290</v>
      </c>
      <c r="H508" s="147">
        <v>44207</v>
      </c>
      <c r="I508">
        <v>7</v>
      </c>
      <c r="J508" t="s">
        <v>195</v>
      </c>
      <c r="L508">
        <v>0</v>
      </c>
      <c r="M508">
        <v>0</v>
      </c>
      <c r="U508">
        <v>1026</v>
      </c>
      <c r="V508">
        <v>843</v>
      </c>
      <c r="W508">
        <v>0</v>
      </c>
      <c r="X508">
        <v>0</v>
      </c>
      <c r="Y508">
        <v>26</v>
      </c>
      <c r="Z508">
        <v>26</v>
      </c>
      <c r="AA508">
        <v>0</v>
      </c>
      <c r="AB508">
        <v>0</v>
      </c>
      <c r="AC508">
        <v>7</v>
      </c>
      <c r="AD508">
        <v>5</v>
      </c>
      <c r="AG508" t="s">
        <v>258</v>
      </c>
      <c r="AH508" t="s">
        <v>435</v>
      </c>
      <c r="AI508">
        <v>366</v>
      </c>
      <c r="AJ508">
        <v>128</v>
      </c>
      <c r="AK508">
        <v>127</v>
      </c>
      <c r="AL508">
        <v>16</v>
      </c>
      <c r="AM508">
        <v>4</v>
      </c>
      <c r="AN508" t="s">
        <v>49</v>
      </c>
      <c r="AO508">
        <v>0.82163742690058483</v>
      </c>
      <c r="AP508">
        <v>196</v>
      </c>
    </row>
    <row r="509" spans="1:42" x14ac:dyDescent="0.35">
      <c r="A509">
        <v>97125</v>
      </c>
      <c r="B509">
        <v>8619</v>
      </c>
      <c r="C509">
        <v>950154</v>
      </c>
      <c r="D509">
        <v>355</v>
      </c>
      <c r="E509" s="147">
        <v>44207</v>
      </c>
      <c r="F509" t="s">
        <v>535</v>
      </c>
      <c r="G509" t="s">
        <v>152</v>
      </c>
      <c r="H509" s="147">
        <v>44207</v>
      </c>
      <c r="I509">
        <v>7</v>
      </c>
      <c r="J509" t="s">
        <v>195</v>
      </c>
      <c r="L509">
        <v>0</v>
      </c>
      <c r="M509">
        <v>0</v>
      </c>
      <c r="U509">
        <v>445</v>
      </c>
      <c r="V509">
        <v>428</v>
      </c>
      <c r="W509">
        <v>0</v>
      </c>
      <c r="X509">
        <v>0</v>
      </c>
      <c r="Y509">
        <v>20</v>
      </c>
      <c r="Z509">
        <v>14</v>
      </c>
      <c r="AA509">
        <v>0</v>
      </c>
      <c r="AB509">
        <v>0</v>
      </c>
      <c r="AC509">
        <v>14</v>
      </c>
      <c r="AD509">
        <v>13</v>
      </c>
      <c r="AG509" t="s">
        <v>258</v>
      </c>
      <c r="AH509" t="s">
        <v>435</v>
      </c>
      <c r="AI509">
        <v>192</v>
      </c>
      <c r="AJ509">
        <v>38</v>
      </c>
      <c r="AK509">
        <v>62</v>
      </c>
      <c r="AL509">
        <v>8</v>
      </c>
      <c r="AM509">
        <v>10</v>
      </c>
      <c r="AN509" t="s">
        <v>49</v>
      </c>
      <c r="AO509">
        <v>0.96179775280898872</v>
      </c>
      <c r="AP509">
        <v>84</v>
      </c>
    </row>
    <row r="510" spans="1:42" x14ac:dyDescent="0.35">
      <c r="A510">
        <v>97128</v>
      </c>
      <c r="B510">
        <v>8619</v>
      </c>
      <c r="C510">
        <v>950157</v>
      </c>
      <c r="D510">
        <v>508</v>
      </c>
      <c r="E510" s="147">
        <v>44207</v>
      </c>
      <c r="F510" t="s">
        <v>569</v>
      </c>
      <c r="G510" t="s">
        <v>71</v>
      </c>
      <c r="H510" s="147">
        <v>44207</v>
      </c>
      <c r="I510">
        <v>7</v>
      </c>
      <c r="J510" t="s">
        <v>195</v>
      </c>
      <c r="L510">
        <v>0</v>
      </c>
      <c r="M510">
        <v>0</v>
      </c>
      <c r="U510">
        <v>677</v>
      </c>
      <c r="V510">
        <v>605</v>
      </c>
      <c r="W510">
        <v>0</v>
      </c>
      <c r="X510">
        <v>0</v>
      </c>
      <c r="Y510">
        <v>44</v>
      </c>
      <c r="Z510">
        <v>20</v>
      </c>
      <c r="AA510">
        <v>0</v>
      </c>
      <c r="AB510">
        <v>0</v>
      </c>
      <c r="AC510">
        <v>4</v>
      </c>
      <c r="AD510">
        <v>3</v>
      </c>
      <c r="AG510" t="s">
        <v>255</v>
      </c>
      <c r="AH510" t="s">
        <v>435</v>
      </c>
      <c r="AI510">
        <v>316</v>
      </c>
      <c r="AJ510">
        <v>104</v>
      </c>
      <c r="AK510">
        <v>83</v>
      </c>
      <c r="AL510">
        <v>6</v>
      </c>
      <c r="AM510">
        <v>5</v>
      </c>
      <c r="AN510" t="s">
        <v>49</v>
      </c>
      <c r="AO510">
        <v>0.89364844903988183</v>
      </c>
      <c r="AP510">
        <v>177</v>
      </c>
    </row>
    <row r="511" spans="1:42" x14ac:dyDescent="0.35">
      <c r="A511">
        <v>97132</v>
      </c>
      <c r="B511">
        <v>8619</v>
      </c>
      <c r="C511">
        <v>950161</v>
      </c>
      <c r="D511">
        <v>513</v>
      </c>
      <c r="E511" s="147">
        <v>44207</v>
      </c>
      <c r="F511" t="s">
        <v>571</v>
      </c>
      <c r="G511" t="s">
        <v>89</v>
      </c>
      <c r="H511" s="147">
        <v>44207</v>
      </c>
      <c r="I511">
        <v>7</v>
      </c>
      <c r="J511" t="s">
        <v>195</v>
      </c>
      <c r="L511">
        <v>0</v>
      </c>
      <c r="M511">
        <v>0</v>
      </c>
      <c r="U511">
        <v>942</v>
      </c>
      <c r="V511">
        <v>703</v>
      </c>
      <c r="W511">
        <v>0</v>
      </c>
      <c r="X511">
        <v>0</v>
      </c>
      <c r="Y511">
        <v>44</v>
      </c>
      <c r="Z511">
        <v>39</v>
      </c>
      <c r="AA511">
        <v>0</v>
      </c>
      <c r="AB511">
        <v>0</v>
      </c>
      <c r="AC511">
        <v>8</v>
      </c>
      <c r="AD511">
        <v>7</v>
      </c>
      <c r="AG511" t="s">
        <v>255</v>
      </c>
      <c r="AH511" t="s">
        <v>435</v>
      </c>
      <c r="AI511">
        <v>383</v>
      </c>
      <c r="AJ511">
        <v>152</v>
      </c>
      <c r="AK511">
        <v>115</v>
      </c>
      <c r="AL511">
        <v>12</v>
      </c>
      <c r="AM511">
        <v>2</v>
      </c>
      <c r="AN511" t="s">
        <v>49</v>
      </c>
      <c r="AO511">
        <v>0.74628450106157107</v>
      </c>
      <c r="AP511">
        <v>250</v>
      </c>
    </row>
    <row r="512" spans="1:42" x14ac:dyDescent="0.35">
      <c r="A512">
        <v>97133</v>
      </c>
      <c r="B512">
        <v>8619</v>
      </c>
      <c r="C512">
        <v>950162</v>
      </c>
      <c r="D512">
        <v>510</v>
      </c>
      <c r="E512" s="147">
        <v>44207</v>
      </c>
      <c r="F512" t="s">
        <v>542</v>
      </c>
      <c r="G512" t="s">
        <v>107</v>
      </c>
      <c r="H512" s="147">
        <v>44207</v>
      </c>
      <c r="I512">
        <v>7</v>
      </c>
      <c r="J512" t="s">
        <v>195</v>
      </c>
      <c r="L512">
        <v>0</v>
      </c>
      <c r="M512">
        <v>0</v>
      </c>
      <c r="U512">
        <v>622</v>
      </c>
      <c r="V512">
        <v>561</v>
      </c>
      <c r="W512">
        <v>0</v>
      </c>
      <c r="X512">
        <v>0</v>
      </c>
      <c r="Y512">
        <v>36</v>
      </c>
      <c r="Z512">
        <v>31</v>
      </c>
      <c r="AA512">
        <v>0</v>
      </c>
      <c r="AB512">
        <v>0</v>
      </c>
      <c r="AC512">
        <v>28</v>
      </c>
      <c r="AD512">
        <v>15</v>
      </c>
      <c r="AG512" t="s">
        <v>255</v>
      </c>
      <c r="AH512" t="s">
        <v>435</v>
      </c>
      <c r="AI512">
        <v>359</v>
      </c>
      <c r="AJ512">
        <v>115</v>
      </c>
      <c r="AK512">
        <v>85</v>
      </c>
      <c r="AL512">
        <v>6</v>
      </c>
      <c r="AM512">
        <v>1</v>
      </c>
      <c r="AN512" t="s">
        <v>49</v>
      </c>
      <c r="AO512">
        <v>0.90192926045016075</v>
      </c>
      <c r="AP512">
        <v>194</v>
      </c>
    </row>
    <row r="513" spans="1:42" x14ac:dyDescent="0.35">
      <c r="A513">
        <v>97137</v>
      </c>
      <c r="B513">
        <v>8619</v>
      </c>
      <c r="C513">
        <v>950166</v>
      </c>
      <c r="D513">
        <v>476</v>
      </c>
      <c r="E513" s="147">
        <v>44207</v>
      </c>
      <c r="F513" t="s">
        <v>572</v>
      </c>
      <c r="G513" t="s">
        <v>127</v>
      </c>
      <c r="H513" s="147">
        <v>44207</v>
      </c>
      <c r="I513">
        <v>7</v>
      </c>
      <c r="J513" t="s">
        <v>195</v>
      </c>
      <c r="L513">
        <v>0</v>
      </c>
      <c r="M513">
        <v>0</v>
      </c>
      <c r="U513">
        <v>971</v>
      </c>
      <c r="V513">
        <v>874</v>
      </c>
      <c r="W513">
        <v>0</v>
      </c>
      <c r="X513">
        <v>0</v>
      </c>
      <c r="Y513">
        <v>45</v>
      </c>
      <c r="Z513">
        <v>39</v>
      </c>
      <c r="AA513">
        <v>0</v>
      </c>
      <c r="AB513">
        <v>0</v>
      </c>
      <c r="AC513">
        <v>11</v>
      </c>
      <c r="AD513">
        <v>6</v>
      </c>
      <c r="AG513" t="s">
        <v>255</v>
      </c>
      <c r="AH513" t="s">
        <v>435</v>
      </c>
      <c r="AI513">
        <v>389</v>
      </c>
      <c r="AJ513">
        <v>118</v>
      </c>
      <c r="AK513">
        <v>205</v>
      </c>
      <c r="AL513">
        <v>7</v>
      </c>
      <c r="AM513">
        <v>10</v>
      </c>
      <c r="AN513" t="s">
        <v>49</v>
      </c>
      <c r="AO513">
        <v>0.90010298661174049</v>
      </c>
      <c r="AP513">
        <v>217</v>
      </c>
    </row>
    <row r="514" spans="1:42" x14ac:dyDescent="0.35">
      <c r="A514">
        <v>97145</v>
      </c>
      <c r="B514">
        <v>8619</v>
      </c>
      <c r="C514">
        <v>950174</v>
      </c>
      <c r="D514">
        <v>321</v>
      </c>
      <c r="E514" s="147">
        <v>44207</v>
      </c>
      <c r="F514" t="s">
        <v>591</v>
      </c>
      <c r="G514" t="s">
        <v>168</v>
      </c>
      <c r="H514" s="147">
        <v>44207</v>
      </c>
      <c r="I514">
        <v>7</v>
      </c>
      <c r="J514" t="s">
        <v>195</v>
      </c>
      <c r="L514">
        <v>0</v>
      </c>
      <c r="M514">
        <v>0</v>
      </c>
      <c r="U514">
        <v>664</v>
      </c>
      <c r="V514">
        <v>609</v>
      </c>
      <c r="W514">
        <v>0</v>
      </c>
      <c r="X514">
        <v>0</v>
      </c>
      <c r="Y514">
        <v>18</v>
      </c>
      <c r="Z514">
        <v>15</v>
      </c>
      <c r="AA514">
        <v>0</v>
      </c>
      <c r="AB514">
        <v>0</v>
      </c>
      <c r="AC514">
        <v>7</v>
      </c>
      <c r="AD514">
        <v>3</v>
      </c>
      <c r="AG514" t="s">
        <v>255</v>
      </c>
      <c r="AH514" t="s">
        <v>435</v>
      </c>
      <c r="AI514">
        <v>316</v>
      </c>
      <c r="AJ514">
        <v>122</v>
      </c>
      <c r="AK514">
        <v>80</v>
      </c>
      <c r="AL514">
        <v>5</v>
      </c>
      <c r="AM514">
        <v>6</v>
      </c>
      <c r="AN514" t="s">
        <v>49</v>
      </c>
      <c r="AO514">
        <v>0.91716867469879515</v>
      </c>
      <c r="AP514">
        <v>204</v>
      </c>
    </row>
    <row r="515" spans="1:42" x14ac:dyDescent="0.35">
      <c r="A515">
        <v>97147</v>
      </c>
      <c r="B515">
        <v>8619</v>
      </c>
      <c r="C515">
        <v>950176</v>
      </c>
      <c r="D515">
        <v>455</v>
      </c>
      <c r="E515" s="147">
        <v>44207</v>
      </c>
      <c r="F515" t="s">
        <v>544</v>
      </c>
      <c r="G515" t="s">
        <v>66</v>
      </c>
      <c r="H515" s="147">
        <v>44207</v>
      </c>
      <c r="I515">
        <v>7</v>
      </c>
      <c r="J515" t="s">
        <v>195</v>
      </c>
      <c r="L515">
        <v>0</v>
      </c>
      <c r="M515">
        <v>0</v>
      </c>
      <c r="U515">
        <v>476</v>
      </c>
      <c r="V515">
        <v>413</v>
      </c>
      <c r="W515">
        <v>0</v>
      </c>
      <c r="X515">
        <v>0</v>
      </c>
      <c r="Y515">
        <v>26</v>
      </c>
      <c r="Z515">
        <v>23</v>
      </c>
      <c r="AA515">
        <v>0</v>
      </c>
      <c r="AB515">
        <v>0</v>
      </c>
      <c r="AC515">
        <v>8</v>
      </c>
      <c r="AD515">
        <v>3</v>
      </c>
      <c r="AG515" t="s">
        <v>223</v>
      </c>
      <c r="AH515" t="s">
        <v>435</v>
      </c>
      <c r="AI515">
        <v>192</v>
      </c>
      <c r="AJ515">
        <v>67</v>
      </c>
      <c r="AK515">
        <v>92</v>
      </c>
      <c r="AL515">
        <v>11</v>
      </c>
      <c r="AM515">
        <v>2</v>
      </c>
      <c r="AN515" t="s">
        <v>49</v>
      </c>
      <c r="AO515">
        <v>0.86764705882352944</v>
      </c>
      <c r="AP515">
        <v>97</v>
      </c>
    </row>
    <row r="516" spans="1:42" x14ac:dyDescent="0.35">
      <c r="A516">
        <v>97149</v>
      </c>
      <c r="B516">
        <v>8619</v>
      </c>
      <c r="C516">
        <v>950178</v>
      </c>
      <c r="D516">
        <v>512</v>
      </c>
      <c r="E516" s="147">
        <v>44207</v>
      </c>
      <c r="F516" t="s">
        <v>523</v>
      </c>
      <c r="G516" t="s">
        <v>75</v>
      </c>
      <c r="H516" s="147">
        <v>44207</v>
      </c>
      <c r="I516">
        <v>7</v>
      </c>
      <c r="J516" t="s">
        <v>195</v>
      </c>
      <c r="L516">
        <v>0</v>
      </c>
      <c r="M516">
        <v>0</v>
      </c>
      <c r="U516">
        <v>405</v>
      </c>
      <c r="V516">
        <v>388</v>
      </c>
      <c r="W516">
        <v>0</v>
      </c>
      <c r="X516">
        <v>0</v>
      </c>
      <c r="Y516">
        <v>29</v>
      </c>
      <c r="Z516">
        <v>29</v>
      </c>
      <c r="AA516">
        <v>0</v>
      </c>
      <c r="AB516">
        <v>0</v>
      </c>
      <c r="AC516">
        <v>8</v>
      </c>
      <c r="AD516">
        <v>8</v>
      </c>
      <c r="AG516" t="s">
        <v>223</v>
      </c>
      <c r="AH516" t="s">
        <v>435</v>
      </c>
      <c r="AI516">
        <v>147</v>
      </c>
      <c r="AJ516">
        <v>48</v>
      </c>
      <c r="AK516">
        <v>64</v>
      </c>
      <c r="AL516">
        <v>1</v>
      </c>
      <c r="AM516">
        <v>2</v>
      </c>
      <c r="AN516" t="s">
        <v>49</v>
      </c>
      <c r="AO516">
        <v>0.9580246913580247</v>
      </c>
      <c r="AP516">
        <v>77</v>
      </c>
    </row>
    <row r="517" spans="1:42" x14ac:dyDescent="0.35">
      <c r="A517">
        <v>97152</v>
      </c>
      <c r="B517">
        <v>8619</v>
      </c>
      <c r="C517">
        <v>950181</v>
      </c>
      <c r="D517">
        <v>502</v>
      </c>
      <c r="E517" s="147">
        <v>44207</v>
      </c>
      <c r="F517" t="s">
        <v>592</v>
      </c>
      <c r="G517" t="s">
        <v>90</v>
      </c>
      <c r="H517" s="147">
        <v>44207</v>
      </c>
      <c r="I517">
        <v>7</v>
      </c>
      <c r="J517" t="s">
        <v>195</v>
      </c>
      <c r="L517">
        <v>0</v>
      </c>
      <c r="M517">
        <v>0</v>
      </c>
      <c r="U517">
        <v>798</v>
      </c>
      <c r="V517">
        <v>760</v>
      </c>
      <c r="W517">
        <v>0</v>
      </c>
      <c r="X517">
        <v>0</v>
      </c>
      <c r="Y517">
        <v>28</v>
      </c>
      <c r="Z517">
        <v>28</v>
      </c>
      <c r="AA517">
        <v>0</v>
      </c>
      <c r="AB517">
        <v>0</v>
      </c>
      <c r="AC517">
        <v>12</v>
      </c>
      <c r="AD517">
        <v>5</v>
      </c>
      <c r="AG517" t="s">
        <v>223</v>
      </c>
      <c r="AH517" t="s">
        <v>435</v>
      </c>
      <c r="AI517">
        <v>359</v>
      </c>
      <c r="AJ517">
        <v>129</v>
      </c>
      <c r="AK517">
        <v>94</v>
      </c>
      <c r="AL517">
        <v>21</v>
      </c>
      <c r="AM517">
        <v>15</v>
      </c>
      <c r="AN517" t="s">
        <v>49</v>
      </c>
      <c r="AO517">
        <v>0.95238095238095233</v>
      </c>
      <c r="AP517">
        <v>201</v>
      </c>
    </row>
    <row r="518" spans="1:42" x14ac:dyDescent="0.35">
      <c r="A518">
        <v>97157</v>
      </c>
      <c r="B518">
        <v>8619</v>
      </c>
      <c r="C518">
        <v>950186</v>
      </c>
      <c r="D518">
        <v>421</v>
      </c>
      <c r="E518" s="147">
        <v>44207</v>
      </c>
      <c r="F518" t="s">
        <v>593</v>
      </c>
      <c r="G518" t="s">
        <v>112</v>
      </c>
      <c r="H518" s="147">
        <v>44207</v>
      </c>
      <c r="I518">
        <v>7</v>
      </c>
      <c r="J518" t="s">
        <v>195</v>
      </c>
      <c r="L518">
        <v>0</v>
      </c>
      <c r="M518">
        <v>0</v>
      </c>
      <c r="U518">
        <v>459</v>
      </c>
      <c r="V518">
        <v>416</v>
      </c>
      <c r="W518">
        <v>0</v>
      </c>
      <c r="X518">
        <v>0</v>
      </c>
      <c r="Y518">
        <v>35</v>
      </c>
      <c r="Z518">
        <v>30</v>
      </c>
      <c r="AA518">
        <v>0</v>
      </c>
      <c r="AB518">
        <v>0</v>
      </c>
      <c r="AC518">
        <v>20</v>
      </c>
      <c r="AD518">
        <v>10</v>
      </c>
      <c r="AG518" t="s">
        <v>223</v>
      </c>
      <c r="AH518" t="s">
        <v>435</v>
      </c>
      <c r="AI518">
        <v>183</v>
      </c>
      <c r="AJ518">
        <v>41</v>
      </c>
      <c r="AK518">
        <v>100</v>
      </c>
      <c r="AL518">
        <v>25</v>
      </c>
      <c r="AM518">
        <v>29</v>
      </c>
      <c r="AN518" t="s">
        <v>49</v>
      </c>
      <c r="AO518">
        <v>0.90631808278867099</v>
      </c>
      <c r="AP518">
        <v>88</v>
      </c>
    </row>
    <row r="519" spans="1:42" x14ac:dyDescent="0.35">
      <c r="A519">
        <v>97159</v>
      </c>
      <c r="B519">
        <v>8619</v>
      </c>
      <c r="C519">
        <v>950188</v>
      </c>
      <c r="D519">
        <v>370</v>
      </c>
      <c r="E519" s="147">
        <v>44207</v>
      </c>
      <c r="F519" t="s">
        <v>561</v>
      </c>
      <c r="G519" t="s">
        <v>433</v>
      </c>
      <c r="H519" s="147">
        <v>44207</v>
      </c>
      <c r="I519">
        <v>7</v>
      </c>
      <c r="J519" t="s">
        <v>195</v>
      </c>
      <c r="L519">
        <v>0</v>
      </c>
      <c r="M519">
        <v>0</v>
      </c>
      <c r="U519">
        <v>960</v>
      </c>
      <c r="V519">
        <v>898</v>
      </c>
      <c r="W519">
        <v>0</v>
      </c>
      <c r="X519">
        <v>0</v>
      </c>
      <c r="Y519">
        <v>45</v>
      </c>
      <c r="Z519">
        <v>45</v>
      </c>
      <c r="AA519">
        <v>0</v>
      </c>
      <c r="AB519">
        <v>0</v>
      </c>
      <c r="AC519">
        <v>18</v>
      </c>
      <c r="AD519">
        <v>18</v>
      </c>
      <c r="AG519" t="s">
        <v>223</v>
      </c>
      <c r="AH519" t="s">
        <v>435</v>
      </c>
      <c r="AI519">
        <v>448</v>
      </c>
      <c r="AJ519">
        <v>123</v>
      </c>
      <c r="AK519">
        <v>132</v>
      </c>
      <c r="AL519">
        <v>22</v>
      </c>
      <c r="AM519">
        <v>43</v>
      </c>
      <c r="AN519" t="s">
        <v>49</v>
      </c>
      <c r="AO519">
        <v>0.93541666666666667</v>
      </c>
      <c r="AP519">
        <v>252</v>
      </c>
    </row>
    <row r="520" spans="1:42" x14ac:dyDescent="0.35">
      <c r="A520">
        <v>97164</v>
      </c>
      <c r="B520">
        <v>8619</v>
      </c>
      <c r="C520">
        <v>950193</v>
      </c>
      <c r="D520">
        <v>538</v>
      </c>
      <c r="E520" s="147">
        <v>44207</v>
      </c>
      <c r="F520" t="s">
        <v>560</v>
      </c>
      <c r="G520" t="s">
        <v>166</v>
      </c>
      <c r="H520" s="147">
        <v>44207</v>
      </c>
      <c r="I520">
        <v>7</v>
      </c>
      <c r="J520" t="s">
        <v>195</v>
      </c>
      <c r="L520">
        <v>0</v>
      </c>
      <c r="M520">
        <v>0</v>
      </c>
      <c r="U520">
        <v>841</v>
      </c>
      <c r="V520">
        <v>736</v>
      </c>
      <c r="W520">
        <v>0</v>
      </c>
      <c r="X520">
        <v>0</v>
      </c>
      <c r="Y520">
        <v>53</v>
      </c>
      <c r="Z520">
        <v>39</v>
      </c>
      <c r="AA520">
        <v>0</v>
      </c>
      <c r="AB520">
        <v>0</v>
      </c>
      <c r="AC520">
        <v>24</v>
      </c>
      <c r="AD520">
        <v>7</v>
      </c>
      <c r="AG520" t="s">
        <v>223</v>
      </c>
      <c r="AH520" t="s">
        <v>435</v>
      </c>
      <c r="AI520">
        <v>327</v>
      </c>
      <c r="AJ520">
        <v>102</v>
      </c>
      <c r="AK520">
        <v>147</v>
      </c>
      <c r="AL520">
        <v>21</v>
      </c>
      <c r="AM520">
        <v>1</v>
      </c>
      <c r="AN520" t="s">
        <v>49</v>
      </c>
      <c r="AO520">
        <v>0.87514863258026154</v>
      </c>
      <c r="AP520">
        <v>152</v>
      </c>
    </row>
    <row r="521" spans="1:42" x14ac:dyDescent="0.35">
      <c r="A521">
        <v>97166</v>
      </c>
      <c r="B521">
        <v>8619</v>
      </c>
      <c r="C521">
        <v>950195</v>
      </c>
      <c r="D521">
        <v>451</v>
      </c>
      <c r="E521" s="147">
        <v>44207</v>
      </c>
      <c r="F521" t="s">
        <v>594</v>
      </c>
      <c r="G521" t="s">
        <v>95</v>
      </c>
      <c r="H521" s="147">
        <v>44207</v>
      </c>
      <c r="I521">
        <v>7</v>
      </c>
      <c r="J521" t="s">
        <v>195</v>
      </c>
      <c r="L521">
        <v>0</v>
      </c>
      <c r="M521">
        <v>0</v>
      </c>
      <c r="U521">
        <v>800</v>
      </c>
      <c r="V521">
        <v>722</v>
      </c>
      <c r="W521">
        <v>0</v>
      </c>
      <c r="X521">
        <v>0</v>
      </c>
      <c r="Y521">
        <v>25</v>
      </c>
      <c r="Z521">
        <v>21</v>
      </c>
      <c r="AA521">
        <v>0</v>
      </c>
      <c r="AB521">
        <v>0</v>
      </c>
      <c r="AC521">
        <v>12</v>
      </c>
      <c r="AD521">
        <v>7</v>
      </c>
      <c r="AG521" t="s">
        <v>224</v>
      </c>
      <c r="AH521" t="s">
        <v>435</v>
      </c>
      <c r="AI521">
        <v>390</v>
      </c>
      <c r="AJ521">
        <v>141</v>
      </c>
      <c r="AK521">
        <v>123</v>
      </c>
      <c r="AL521">
        <v>17</v>
      </c>
      <c r="AM521">
        <v>17</v>
      </c>
      <c r="AN521" t="s">
        <v>49</v>
      </c>
      <c r="AO521">
        <v>0.90249999999999997</v>
      </c>
      <c r="AP521">
        <v>214</v>
      </c>
    </row>
    <row r="522" spans="1:42" x14ac:dyDescent="0.35">
      <c r="A522">
        <v>97167</v>
      </c>
      <c r="B522">
        <v>8619</v>
      </c>
      <c r="C522">
        <v>950196</v>
      </c>
      <c r="D522">
        <v>405</v>
      </c>
      <c r="E522" s="147">
        <v>44207</v>
      </c>
      <c r="F522" t="s">
        <v>557</v>
      </c>
      <c r="G522" t="s">
        <v>96</v>
      </c>
      <c r="H522" s="147">
        <v>44207</v>
      </c>
      <c r="I522">
        <v>7</v>
      </c>
      <c r="J522" t="s">
        <v>195</v>
      </c>
      <c r="L522">
        <v>0</v>
      </c>
      <c r="M522">
        <v>0</v>
      </c>
      <c r="U522">
        <v>540</v>
      </c>
      <c r="V522">
        <v>506</v>
      </c>
      <c r="W522">
        <v>0</v>
      </c>
      <c r="X522">
        <v>0</v>
      </c>
      <c r="Y522">
        <v>12</v>
      </c>
      <c r="Z522">
        <v>11</v>
      </c>
      <c r="AA522">
        <v>0</v>
      </c>
      <c r="AB522">
        <v>0</v>
      </c>
      <c r="AC522">
        <v>10</v>
      </c>
      <c r="AD522">
        <v>7</v>
      </c>
      <c r="AG522" t="s">
        <v>224</v>
      </c>
      <c r="AH522" t="s">
        <v>435</v>
      </c>
      <c r="AI522">
        <v>198</v>
      </c>
      <c r="AJ522">
        <v>67</v>
      </c>
      <c r="AK522">
        <v>75</v>
      </c>
      <c r="AL522">
        <v>14</v>
      </c>
      <c r="AM522">
        <v>15</v>
      </c>
      <c r="AN522" t="s">
        <v>49</v>
      </c>
      <c r="AO522">
        <v>0.937037037037037</v>
      </c>
      <c r="AP522">
        <v>109</v>
      </c>
    </row>
    <row r="523" spans="1:42" x14ac:dyDescent="0.35">
      <c r="A523">
        <v>97168</v>
      </c>
      <c r="B523">
        <v>8619</v>
      </c>
      <c r="C523">
        <v>950197</v>
      </c>
      <c r="D523">
        <v>465</v>
      </c>
      <c r="E523" s="147">
        <v>44207</v>
      </c>
      <c r="F523" t="s">
        <v>541</v>
      </c>
      <c r="G523" t="s">
        <v>117</v>
      </c>
      <c r="H523" s="147">
        <v>44207</v>
      </c>
      <c r="I523">
        <v>7</v>
      </c>
      <c r="J523" t="s">
        <v>195</v>
      </c>
      <c r="L523">
        <v>0</v>
      </c>
      <c r="M523">
        <v>0</v>
      </c>
      <c r="U523">
        <v>834</v>
      </c>
      <c r="V523">
        <v>784</v>
      </c>
      <c r="W523">
        <v>0</v>
      </c>
      <c r="X523">
        <v>0</v>
      </c>
      <c r="Y523">
        <v>46</v>
      </c>
      <c r="Z523">
        <v>41</v>
      </c>
      <c r="AA523">
        <v>0</v>
      </c>
      <c r="AB523">
        <v>0</v>
      </c>
      <c r="AC523">
        <v>32</v>
      </c>
      <c r="AD523">
        <v>24</v>
      </c>
      <c r="AG523" t="s">
        <v>224</v>
      </c>
      <c r="AH523" t="s">
        <v>435</v>
      </c>
      <c r="AI523">
        <v>415</v>
      </c>
      <c r="AJ523">
        <v>159</v>
      </c>
      <c r="AK523">
        <v>100</v>
      </c>
      <c r="AL523">
        <v>7</v>
      </c>
      <c r="AM523">
        <v>5</v>
      </c>
      <c r="AN523" t="s">
        <v>49</v>
      </c>
      <c r="AO523">
        <v>0.94004796163069548</v>
      </c>
      <c r="AP523">
        <v>231</v>
      </c>
    </row>
    <row r="524" spans="1:42" x14ac:dyDescent="0.35">
      <c r="A524">
        <v>97170</v>
      </c>
      <c r="B524">
        <v>8619</v>
      </c>
      <c r="C524">
        <v>950199</v>
      </c>
      <c r="D524">
        <v>348</v>
      </c>
      <c r="E524" s="147">
        <v>44207</v>
      </c>
      <c r="F524" t="s">
        <v>558</v>
      </c>
      <c r="G524" t="s">
        <v>129</v>
      </c>
      <c r="H524" s="147">
        <v>44207</v>
      </c>
      <c r="I524">
        <v>7</v>
      </c>
      <c r="J524" t="s">
        <v>195</v>
      </c>
      <c r="L524">
        <v>0</v>
      </c>
      <c r="M524">
        <v>0</v>
      </c>
      <c r="U524">
        <v>592</v>
      </c>
      <c r="V524">
        <v>488</v>
      </c>
      <c r="W524">
        <v>0</v>
      </c>
      <c r="X524">
        <v>0</v>
      </c>
      <c r="Y524">
        <v>15</v>
      </c>
      <c r="Z524">
        <v>13</v>
      </c>
      <c r="AA524">
        <v>0</v>
      </c>
      <c r="AB524">
        <v>0</v>
      </c>
      <c r="AC524">
        <v>7</v>
      </c>
      <c r="AD524">
        <v>3</v>
      </c>
      <c r="AG524" t="s">
        <v>224</v>
      </c>
      <c r="AH524" t="s">
        <v>435</v>
      </c>
      <c r="AI524">
        <v>215</v>
      </c>
      <c r="AJ524">
        <v>70</v>
      </c>
      <c r="AK524">
        <v>91</v>
      </c>
      <c r="AL524">
        <v>8</v>
      </c>
      <c r="AM524">
        <v>10</v>
      </c>
      <c r="AN524" t="s">
        <v>49</v>
      </c>
      <c r="AO524">
        <v>0.82432432432432434</v>
      </c>
      <c r="AP524">
        <v>110</v>
      </c>
    </row>
    <row r="525" spans="1:42" x14ac:dyDescent="0.35">
      <c r="A525">
        <v>97172</v>
      </c>
      <c r="B525">
        <v>8619</v>
      </c>
      <c r="C525">
        <v>950201</v>
      </c>
      <c r="D525">
        <v>337</v>
      </c>
      <c r="E525" s="147">
        <v>44207</v>
      </c>
      <c r="F525" t="s">
        <v>595</v>
      </c>
      <c r="G525" t="s">
        <v>132</v>
      </c>
      <c r="H525" s="147">
        <v>44207</v>
      </c>
      <c r="I525">
        <v>7</v>
      </c>
      <c r="J525" t="s">
        <v>195</v>
      </c>
      <c r="L525">
        <v>0</v>
      </c>
      <c r="M525">
        <v>0</v>
      </c>
      <c r="U525">
        <v>551</v>
      </c>
      <c r="V525">
        <v>477</v>
      </c>
      <c r="W525">
        <v>0</v>
      </c>
      <c r="X525">
        <v>0</v>
      </c>
      <c r="Y525">
        <v>18</v>
      </c>
      <c r="Z525">
        <v>18</v>
      </c>
      <c r="AA525">
        <v>0</v>
      </c>
      <c r="AB525">
        <v>0</v>
      </c>
      <c r="AC525">
        <v>7</v>
      </c>
      <c r="AD525">
        <v>5</v>
      </c>
      <c r="AG525" t="s">
        <v>224</v>
      </c>
      <c r="AH525" t="s">
        <v>435</v>
      </c>
      <c r="AI525">
        <v>243</v>
      </c>
      <c r="AJ525">
        <v>84</v>
      </c>
      <c r="AK525">
        <v>85</v>
      </c>
      <c r="AL525">
        <v>10</v>
      </c>
      <c r="AM525">
        <v>20</v>
      </c>
      <c r="AN525" t="s">
        <v>49</v>
      </c>
      <c r="AO525">
        <v>0.8656987295825771</v>
      </c>
      <c r="AP525">
        <v>134</v>
      </c>
    </row>
    <row r="526" spans="1:42" x14ac:dyDescent="0.35">
      <c r="A526">
        <v>97177</v>
      </c>
      <c r="B526">
        <v>8619</v>
      </c>
      <c r="C526">
        <v>950206</v>
      </c>
      <c r="D526">
        <v>25513</v>
      </c>
      <c r="E526" s="147">
        <v>44207</v>
      </c>
      <c r="F526" t="s">
        <v>596</v>
      </c>
      <c r="G526" t="s">
        <v>437</v>
      </c>
      <c r="H526" s="147">
        <v>44207</v>
      </c>
      <c r="I526">
        <v>7</v>
      </c>
      <c r="J526" t="s">
        <v>195</v>
      </c>
      <c r="L526">
        <v>0</v>
      </c>
      <c r="M526">
        <v>0</v>
      </c>
      <c r="U526">
        <v>1043</v>
      </c>
      <c r="V526">
        <v>907</v>
      </c>
      <c r="W526">
        <v>0</v>
      </c>
      <c r="X526">
        <v>0</v>
      </c>
      <c r="Y526">
        <v>36</v>
      </c>
      <c r="Z526">
        <v>36</v>
      </c>
      <c r="AA526">
        <v>0</v>
      </c>
      <c r="AB526">
        <v>0</v>
      </c>
      <c r="AC526">
        <v>20</v>
      </c>
      <c r="AD526">
        <v>12</v>
      </c>
      <c r="AG526" t="s">
        <v>224</v>
      </c>
      <c r="AH526" t="s">
        <v>435</v>
      </c>
      <c r="AI526">
        <v>466</v>
      </c>
      <c r="AJ526">
        <v>154</v>
      </c>
      <c r="AK526">
        <v>136</v>
      </c>
      <c r="AL526">
        <v>9</v>
      </c>
      <c r="AM526">
        <v>13</v>
      </c>
      <c r="AN526" t="s">
        <v>49</v>
      </c>
      <c r="AO526">
        <v>0.86960690316395017</v>
      </c>
      <c r="AP526">
        <v>250</v>
      </c>
    </row>
    <row r="527" spans="1:42" x14ac:dyDescent="0.35">
      <c r="A527">
        <v>97178</v>
      </c>
      <c r="B527">
        <v>8619</v>
      </c>
      <c r="C527">
        <v>950207</v>
      </c>
      <c r="D527">
        <v>388</v>
      </c>
      <c r="E527" s="147">
        <v>44207</v>
      </c>
      <c r="F527" t="s">
        <v>554</v>
      </c>
      <c r="G527" t="s">
        <v>222</v>
      </c>
      <c r="H527" s="147">
        <v>44207</v>
      </c>
      <c r="I527">
        <v>7</v>
      </c>
      <c r="J527" t="s">
        <v>195</v>
      </c>
      <c r="L527">
        <v>0</v>
      </c>
      <c r="M527">
        <v>0</v>
      </c>
      <c r="U527">
        <v>803</v>
      </c>
      <c r="V527">
        <v>738</v>
      </c>
      <c r="W527">
        <v>0</v>
      </c>
      <c r="X527">
        <v>0</v>
      </c>
      <c r="Y527">
        <v>44</v>
      </c>
      <c r="Z527">
        <v>33</v>
      </c>
      <c r="AA527">
        <v>0</v>
      </c>
      <c r="AB527">
        <v>0</v>
      </c>
      <c r="AC527">
        <v>15</v>
      </c>
      <c r="AD527">
        <v>15</v>
      </c>
      <c r="AG527" t="s">
        <v>224</v>
      </c>
      <c r="AH527" t="s">
        <v>435</v>
      </c>
      <c r="AI527">
        <v>351</v>
      </c>
      <c r="AJ527">
        <v>94</v>
      </c>
      <c r="AK527">
        <v>95</v>
      </c>
      <c r="AL527">
        <v>42</v>
      </c>
      <c r="AM527">
        <v>18</v>
      </c>
      <c r="AN527" t="s">
        <v>49</v>
      </c>
      <c r="AO527">
        <v>0.9190535491905355</v>
      </c>
      <c r="AP527">
        <v>173</v>
      </c>
    </row>
    <row r="528" spans="1:42" x14ac:dyDescent="0.35">
      <c r="A528">
        <v>97180</v>
      </c>
      <c r="B528">
        <v>8619</v>
      </c>
      <c r="C528">
        <v>950209</v>
      </c>
      <c r="D528">
        <v>330</v>
      </c>
      <c r="E528" s="147">
        <v>44207</v>
      </c>
      <c r="F528" t="s">
        <v>555</v>
      </c>
      <c r="G528" t="s">
        <v>307</v>
      </c>
      <c r="H528" s="147">
        <v>44208</v>
      </c>
      <c r="I528">
        <v>7</v>
      </c>
      <c r="J528" t="s">
        <v>199</v>
      </c>
      <c r="L528">
        <v>0</v>
      </c>
      <c r="M528">
        <v>0</v>
      </c>
      <c r="U528">
        <v>1039</v>
      </c>
      <c r="V528">
        <v>947</v>
      </c>
      <c r="W528">
        <v>0</v>
      </c>
      <c r="X528">
        <v>0</v>
      </c>
      <c r="Y528">
        <v>38</v>
      </c>
      <c r="Z528">
        <v>37</v>
      </c>
      <c r="AA528">
        <v>0</v>
      </c>
      <c r="AB528">
        <v>0</v>
      </c>
      <c r="AC528">
        <v>22</v>
      </c>
      <c r="AD528">
        <v>14</v>
      </c>
      <c r="AG528" t="s">
        <v>291</v>
      </c>
      <c r="AH528" t="s">
        <v>435</v>
      </c>
      <c r="AI528">
        <v>411</v>
      </c>
      <c r="AJ528">
        <v>116</v>
      </c>
      <c r="AK528">
        <v>135</v>
      </c>
      <c r="AL528">
        <v>7</v>
      </c>
      <c r="AM528">
        <v>3</v>
      </c>
      <c r="AN528" t="s">
        <v>49</v>
      </c>
      <c r="AO528">
        <v>0.91145332050048122</v>
      </c>
      <c r="AP528">
        <v>220</v>
      </c>
    </row>
    <row r="529" spans="1:42" x14ac:dyDescent="0.35">
      <c r="A529">
        <v>97182</v>
      </c>
      <c r="B529">
        <v>8619</v>
      </c>
      <c r="C529">
        <v>950211</v>
      </c>
      <c r="D529">
        <v>482</v>
      </c>
      <c r="E529" s="147">
        <v>44207</v>
      </c>
      <c r="F529" t="s">
        <v>549</v>
      </c>
      <c r="G529" t="s">
        <v>86</v>
      </c>
      <c r="H529" s="147">
        <v>44208</v>
      </c>
      <c r="I529">
        <v>7</v>
      </c>
      <c r="J529" t="s">
        <v>199</v>
      </c>
      <c r="L529">
        <v>0</v>
      </c>
      <c r="M529">
        <v>0</v>
      </c>
      <c r="U529">
        <v>532</v>
      </c>
      <c r="V529">
        <v>461</v>
      </c>
      <c r="W529">
        <v>0</v>
      </c>
      <c r="X529">
        <v>0</v>
      </c>
      <c r="Y529">
        <v>32</v>
      </c>
      <c r="Z529">
        <v>27</v>
      </c>
      <c r="AA529">
        <v>0</v>
      </c>
      <c r="AB529">
        <v>0</v>
      </c>
      <c r="AC529">
        <v>10</v>
      </c>
      <c r="AD529">
        <v>3</v>
      </c>
      <c r="AG529" t="s">
        <v>291</v>
      </c>
      <c r="AH529" t="s">
        <v>435</v>
      </c>
      <c r="AI529">
        <v>225</v>
      </c>
      <c r="AJ529">
        <v>43</v>
      </c>
      <c r="AK529">
        <v>79</v>
      </c>
      <c r="AL529">
        <v>12</v>
      </c>
      <c r="AM529">
        <v>11</v>
      </c>
      <c r="AN529" t="s">
        <v>49</v>
      </c>
      <c r="AO529">
        <v>0.86654135338345861</v>
      </c>
      <c r="AP529">
        <v>104</v>
      </c>
    </row>
    <row r="530" spans="1:42" x14ac:dyDescent="0.35">
      <c r="A530">
        <v>97183</v>
      </c>
      <c r="B530">
        <v>8619</v>
      </c>
      <c r="C530">
        <v>950212</v>
      </c>
      <c r="D530">
        <v>342</v>
      </c>
      <c r="E530" s="147">
        <v>44207</v>
      </c>
      <c r="F530" t="s">
        <v>583</v>
      </c>
      <c r="G530" t="s">
        <v>259</v>
      </c>
      <c r="H530" s="147">
        <v>44208</v>
      </c>
      <c r="I530">
        <v>7</v>
      </c>
      <c r="J530" t="s">
        <v>199</v>
      </c>
      <c r="L530">
        <v>0</v>
      </c>
      <c r="M530">
        <v>0</v>
      </c>
      <c r="U530">
        <v>1056</v>
      </c>
      <c r="V530">
        <v>906</v>
      </c>
      <c r="W530">
        <v>0</v>
      </c>
      <c r="X530">
        <v>0</v>
      </c>
      <c r="Y530">
        <v>47</v>
      </c>
      <c r="Z530">
        <v>45</v>
      </c>
      <c r="AA530">
        <v>0</v>
      </c>
      <c r="AB530">
        <v>0</v>
      </c>
      <c r="AC530">
        <v>10</v>
      </c>
      <c r="AD530">
        <v>3</v>
      </c>
      <c r="AG530" t="s">
        <v>291</v>
      </c>
      <c r="AH530" t="s">
        <v>435</v>
      </c>
      <c r="AI530">
        <v>377</v>
      </c>
      <c r="AJ530">
        <v>100</v>
      </c>
      <c r="AK530">
        <v>149</v>
      </c>
      <c r="AL530">
        <v>10</v>
      </c>
      <c r="AM530">
        <v>8</v>
      </c>
      <c r="AN530" t="s">
        <v>49</v>
      </c>
      <c r="AO530">
        <v>0.85795454545454541</v>
      </c>
      <c r="AP530">
        <v>168</v>
      </c>
    </row>
    <row r="531" spans="1:42" x14ac:dyDescent="0.35">
      <c r="A531">
        <v>97185</v>
      </c>
      <c r="B531">
        <v>8619</v>
      </c>
      <c r="C531">
        <v>950214</v>
      </c>
      <c r="D531">
        <v>310</v>
      </c>
      <c r="E531" s="147">
        <v>44207</v>
      </c>
      <c r="F531" t="s">
        <v>550</v>
      </c>
      <c r="G531" t="s">
        <v>432</v>
      </c>
      <c r="H531" s="147">
        <v>44208</v>
      </c>
      <c r="I531">
        <v>7</v>
      </c>
      <c r="J531" t="s">
        <v>199</v>
      </c>
      <c r="L531">
        <v>0</v>
      </c>
      <c r="M531">
        <v>0</v>
      </c>
      <c r="U531">
        <v>1678</v>
      </c>
      <c r="V531">
        <v>1405</v>
      </c>
      <c r="W531">
        <v>0</v>
      </c>
      <c r="X531">
        <v>0</v>
      </c>
      <c r="Y531">
        <v>189</v>
      </c>
      <c r="Z531">
        <v>181</v>
      </c>
      <c r="AA531">
        <v>0</v>
      </c>
      <c r="AB531">
        <v>0</v>
      </c>
      <c r="AC531">
        <v>28</v>
      </c>
      <c r="AD531">
        <v>11</v>
      </c>
      <c r="AG531" t="s">
        <v>291</v>
      </c>
      <c r="AH531" t="s">
        <v>435</v>
      </c>
      <c r="AI531">
        <v>647</v>
      </c>
      <c r="AJ531">
        <v>166</v>
      </c>
      <c r="AK531">
        <v>257</v>
      </c>
      <c r="AL531">
        <v>13</v>
      </c>
      <c r="AM531">
        <v>16</v>
      </c>
      <c r="AN531" t="s">
        <v>49</v>
      </c>
      <c r="AO531">
        <v>0.83730631704410008</v>
      </c>
      <c r="AP531">
        <v>323</v>
      </c>
    </row>
    <row r="532" spans="1:42" x14ac:dyDescent="0.35">
      <c r="A532">
        <v>97187</v>
      </c>
      <c r="B532">
        <v>8619</v>
      </c>
      <c r="C532">
        <v>950216</v>
      </c>
      <c r="D532">
        <v>399</v>
      </c>
      <c r="E532" s="147">
        <v>44207</v>
      </c>
      <c r="F532" t="s">
        <v>584</v>
      </c>
      <c r="G532" t="s">
        <v>116</v>
      </c>
      <c r="H532" s="147">
        <v>44208</v>
      </c>
      <c r="I532">
        <v>7</v>
      </c>
      <c r="J532" t="s">
        <v>199</v>
      </c>
      <c r="L532">
        <v>0</v>
      </c>
      <c r="M532">
        <v>0</v>
      </c>
      <c r="U532">
        <v>891</v>
      </c>
      <c r="V532">
        <v>786</v>
      </c>
      <c r="W532">
        <v>0</v>
      </c>
      <c r="X532">
        <v>0</v>
      </c>
      <c r="Y532">
        <v>86</v>
      </c>
      <c r="Z532">
        <v>51</v>
      </c>
      <c r="AA532">
        <v>0</v>
      </c>
      <c r="AB532">
        <v>0</v>
      </c>
      <c r="AC532">
        <v>15</v>
      </c>
      <c r="AD532">
        <v>9</v>
      </c>
      <c r="AG532" t="s">
        <v>291</v>
      </c>
      <c r="AH532" t="s">
        <v>435</v>
      </c>
      <c r="AI532">
        <v>382</v>
      </c>
      <c r="AJ532">
        <v>106</v>
      </c>
      <c r="AK532">
        <v>134</v>
      </c>
      <c r="AL532">
        <v>36</v>
      </c>
      <c r="AM532">
        <v>23</v>
      </c>
      <c r="AN532" t="s">
        <v>49</v>
      </c>
      <c r="AO532">
        <v>0.88215488215488214</v>
      </c>
      <c r="AP532">
        <v>185</v>
      </c>
    </row>
    <row r="533" spans="1:42" x14ac:dyDescent="0.35">
      <c r="A533">
        <v>97188</v>
      </c>
      <c r="B533">
        <v>8619</v>
      </c>
      <c r="C533">
        <v>950217</v>
      </c>
      <c r="D533">
        <v>360</v>
      </c>
      <c r="E533" s="147">
        <v>44207</v>
      </c>
      <c r="F533" t="s">
        <v>585</v>
      </c>
      <c r="G533" t="s">
        <v>120</v>
      </c>
      <c r="H533" s="147">
        <v>44208</v>
      </c>
      <c r="I533">
        <v>7</v>
      </c>
      <c r="J533" t="s">
        <v>199</v>
      </c>
      <c r="L533">
        <v>0</v>
      </c>
      <c r="M533">
        <v>0</v>
      </c>
      <c r="U533">
        <v>822</v>
      </c>
      <c r="V533">
        <v>763</v>
      </c>
      <c r="W533">
        <v>0</v>
      </c>
      <c r="X533">
        <v>0</v>
      </c>
      <c r="Y533">
        <v>25</v>
      </c>
      <c r="Z533">
        <v>24</v>
      </c>
      <c r="AA533">
        <v>0</v>
      </c>
      <c r="AB533">
        <v>0</v>
      </c>
      <c r="AC533">
        <v>3</v>
      </c>
      <c r="AD533">
        <v>2</v>
      </c>
      <c r="AG533" t="s">
        <v>291</v>
      </c>
      <c r="AH533" t="s">
        <v>435</v>
      </c>
      <c r="AI533">
        <v>356</v>
      </c>
      <c r="AJ533">
        <v>109</v>
      </c>
      <c r="AK533">
        <v>130</v>
      </c>
      <c r="AL533">
        <v>22</v>
      </c>
      <c r="AM533">
        <v>43</v>
      </c>
      <c r="AN533" t="s">
        <v>49</v>
      </c>
      <c r="AO533">
        <v>0.92822384428223847</v>
      </c>
      <c r="AP533">
        <v>194</v>
      </c>
    </row>
    <row r="534" spans="1:42" x14ac:dyDescent="0.35">
      <c r="A534">
        <v>97189</v>
      </c>
      <c r="B534">
        <v>8619</v>
      </c>
      <c r="C534">
        <v>950218</v>
      </c>
      <c r="D534">
        <v>431</v>
      </c>
      <c r="E534" s="147">
        <v>44207</v>
      </c>
      <c r="F534" t="s">
        <v>586</v>
      </c>
      <c r="G534" t="s">
        <v>151</v>
      </c>
      <c r="H534" s="147">
        <v>44208</v>
      </c>
      <c r="I534">
        <v>7</v>
      </c>
      <c r="J534" t="s">
        <v>199</v>
      </c>
      <c r="L534">
        <v>0</v>
      </c>
      <c r="M534">
        <v>0</v>
      </c>
      <c r="U534">
        <v>352</v>
      </c>
      <c r="V534">
        <v>321</v>
      </c>
      <c r="W534">
        <v>0</v>
      </c>
      <c r="X534">
        <v>0</v>
      </c>
      <c r="Y534">
        <v>22</v>
      </c>
      <c r="Z534">
        <v>22</v>
      </c>
      <c r="AA534">
        <v>0</v>
      </c>
      <c r="AB534">
        <v>0</v>
      </c>
      <c r="AC534">
        <v>6</v>
      </c>
      <c r="AD534">
        <v>3</v>
      </c>
      <c r="AG534" t="s">
        <v>291</v>
      </c>
      <c r="AH534" t="s">
        <v>435</v>
      </c>
      <c r="AI534">
        <v>133</v>
      </c>
      <c r="AJ534">
        <v>33</v>
      </c>
      <c r="AK534">
        <v>55</v>
      </c>
      <c r="AL534">
        <v>16</v>
      </c>
      <c r="AM534">
        <v>16</v>
      </c>
      <c r="AN534" t="s">
        <v>49</v>
      </c>
      <c r="AO534">
        <v>0.91193181818181823</v>
      </c>
      <c r="AP534">
        <v>66</v>
      </c>
    </row>
    <row r="535" spans="1:42" x14ac:dyDescent="0.35">
      <c r="A535">
        <v>97191</v>
      </c>
      <c r="B535">
        <v>8619</v>
      </c>
      <c r="C535">
        <v>950220</v>
      </c>
      <c r="D535">
        <v>481</v>
      </c>
      <c r="E535" s="147">
        <v>44207</v>
      </c>
      <c r="F535" t="s">
        <v>551</v>
      </c>
      <c r="G535" t="s">
        <v>164</v>
      </c>
      <c r="H535" s="147">
        <v>44208</v>
      </c>
      <c r="I535">
        <v>7</v>
      </c>
      <c r="J535" t="s">
        <v>199</v>
      </c>
      <c r="L535">
        <v>0</v>
      </c>
      <c r="M535">
        <v>0</v>
      </c>
      <c r="U535">
        <v>638</v>
      </c>
      <c r="V535">
        <v>578</v>
      </c>
      <c r="W535">
        <v>0</v>
      </c>
      <c r="X535">
        <v>0</v>
      </c>
      <c r="Y535">
        <v>34</v>
      </c>
      <c r="Z535">
        <v>26</v>
      </c>
      <c r="AA535">
        <v>0</v>
      </c>
      <c r="AB535">
        <v>0</v>
      </c>
      <c r="AC535">
        <v>6</v>
      </c>
      <c r="AD535">
        <v>5</v>
      </c>
      <c r="AG535" t="s">
        <v>291</v>
      </c>
      <c r="AH535" t="s">
        <v>435</v>
      </c>
      <c r="AI535">
        <v>277</v>
      </c>
      <c r="AJ535">
        <v>84</v>
      </c>
      <c r="AK535">
        <v>102</v>
      </c>
      <c r="AL535">
        <v>29</v>
      </c>
      <c r="AM535">
        <v>3</v>
      </c>
      <c r="AN535" t="s">
        <v>49</v>
      </c>
      <c r="AO535">
        <v>0.90595611285266453</v>
      </c>
      <c r="AP535">
        <v>149</v>
      </c>
    </row>
    <row r="536" spans="1:42" x14ac:dyDescent="0.35">
      <c r="A536">
        <v>97192</v>
      </c>
      <c r="B536">
        <v>8619</v>
      </c>
      <c r="C536">
        <v>950221</v>
      </c>
      <c r="D536">
        <v>363</v>
      </c>
      <c r="E536" s="147">
        <v>44207</v>
      </c>
      <c r="F536" t="s">
        <v>546</v>
      </c>
      <c r="G536" t="s">
        <v>165</v>
      </c>
      <c r="H536" s="147">
        <v>44208</v>
      </c>
      <c r="I536">
        <v>7</v>
      </c>
      <c r="J536" t="s">
        <v>199</v>
      </c>
      <c r="L536">
        <v>0</v>
      </c>
      <c r="M536">
        <v>0</v>
      </c>
      <c r="U536">
        <v>460</v>
      </c>
      <c r="V536">
        <v>382</v>
      </c>
      <c r="W536">
        <v>0</v>
      </c>
      <c r="X536">
        <v>0</v>
      </c>
      <c r="Y536">
        <v>20</v>
      </c>
      <c r="Z536">
        <v>16</v>
      </c>
      <c r="AA536">
        <v>0</v>
      </c>
      <c r="AB536">
        <v>0</v>
      </c>
      <c r="AC536">
        <v>12</v>
      </c>
      <c r="AD536">
        <v>5</v>
      </c>
      <c r="AG536" t="s">
        <v>291</v>
      </c>
      <c r="AH536" t="s">
        <v>435</v>
      </c>
      <c r="AI536">
        <v>218</v>
      </c>
      <c r="AJ536">
        <v>83</v>
      </c>
      <c r="AK536">
        <v>67</v>
      </c>
      <c r="AL536">
        <v>4</v>
      </c>
      <c r="AM536">
        <v>12</v>
      </c>
      <c r="AN536" t="s">
        <v>49</v>
      </c>
      <c r="AO536">
        <v>0.83043478260869563</v>
      </c>
      <c r="AP536">
        <v>127</v>
      </c>
    </row>
    <row r="537" spans="1:42" x14ac:dyDescent="0.35">
      <c r="A537">
        <v>97193</v>
      </c>
      <c r="B537">
        <v>8619</v>
      </c>
      <c r="C537">
        <v>950222</v>
      </c>
      <c r="D537">
        <v>353</v>
      </c>
      <c r="E537" s="147">
        <v>44207</v>
      </c>
      <c r="F537" t="s">
        <v>548</v>
      </c>
      <c r="G537" t="s">
        <v>67</v>
      </c>
      <c r="H537" s="147">
        <v>44208</v>
      </c>
      <c r="I537">
        <v>7</v>
      </c>
      <c r="J537" t="s">
        <v>199</v>
      </c>
      <c r="L537">
        <v>0</v>
      </c>
      <c r="M537">
        <v>0</v>
      </c>
      <c r="U537">
        <v>945</v>
      </c>
      <c r="V537">
        <v>845</v>
      </c>
      <c r="W537">
        <v>0</v>
      </c>
      <c r="X537">
        <v>0</v>
      </c>
      <c r="Y537">
        <v>79</v>
      </c>
      <c r="Z537">
        <v>79</v>
      </c>
      <c r="AA537">
        <v>0</v>
      </c>
      <c r="AB537">
        <v>0</v>
      </c>
      <c r="AC537">
        <v>11</v>
      </c>
      <c r="AD537">
        <v>10</v>
      </c>
      <c r="AG537" t="s">
        <v>1</v>
      </c>
      <c r="AH537" t="s">
        <v>435</v>
      </c>
      <c r="AI537">
        <v>382</v>
      </c>
      <c r="AJ537">
        <v>84</v>
      </c>
      <c r="AK537">
        <v>133</v>
      </c>
      <c r="AL537">
        <v>9</v>
      </c>
      <c r="AM537">
        <v>1</v>
      </c>
      <c r="AN537" t="s">
        <v>49</v>
      </c>
      <c r="AO537">
        <v>0.89417989417989419</v>
      </c>
      <c r="AP537">
        <v>178</v>
      </c>
    </row>
    <row r="538" spans="1:42" x14ac:dyDescent="0.35">
      <c r="A538">
        <v>97203</v>
      </c>
      <c r="B538">
        <v>8619</v>
      </c>
      <c r="C538">
        <v>950232</v>
      </c>
      <c r="D538">
        <v>374</v>
      </c>
      <c r="E538" s="147">
        <v>44207</v>
      </c>
      <c r="F538" t="s">
        <v>556</v>
      </c>
      <c r="G538" t="s">
        <v>109</v>
      </c>
      <c r="H538" s="147">
        <v>44208</v>
      </c>
      <c r="I538">
        <v>7</v>
      </c>
      <c r="J538" t="s">
        <v>199</v>
      </c>
      <c r="L538">
        <v>0</v>
      </c>
      <c r="M538">
        <v>0</v>
      </c>
      <c r="U538">
        <v>882</v>
      </c>
      <c r="V538">
        <v>852</v>
      </c>
      <c r="W538">
        <v>0</v>
      </c>
      <c r="X538">
        <v>0</v>
      </c>
      <c r="Y538">
        <v>53</v>
      </c>
      <c r="Z538">
        <v>51</v>
      </c>
      <c r="AA538">
        <v>0</v>
      </c>
      <c r="AB538">
        <v>0</v>
      </c>
      <c r="AC538">
        <v>5</v>
      </c>
      <c r="AD538">
        <v>2</v>
      </c>
      <c r="AG538" t="s">
        <v>1</v>
      </c>
      <c r="AH538" t="s">
        <v>435</v>
      </c>
      <c r="AI538">
        <v>362</v>
      </c>
      <c r="AJ538">
        <v>136</v>
      </c>
      <c r="AK538">
        <v>153</v>
      </c>
      <c r="AL538">
        <v>13</v>
      </c>
      <c r="AM538">
        <v>9</v>
      </c>
      <c r="AN538" t="s">
        <v>49</v>
      </c>
      <c r="AO538">
        <v>0.96598639455782309</v>
      </c>
      <c r="AP538">
        <v>198</v>
      </c>
    </row>
    <row r="539" spans="1:42" x14ac:dyDescent="0.35">
      <c r="A539">
        <v>97204</v>
      </c>
      <c r="B539">
        <v>8619</v>
      </c>
      <c r="C539">
        <v>950233</v>
      </c>
      <c r="D539">
        <v>25507</v>
      </c>
      <c r="E539" s="147">
        <v>44207</v>
      </c>
      <c r="F539" t="s">
        <v>553</v>
      </c>
      <c r="G539" t="s">
        <v>221</v>
      </c>
      <c r="H539" s="147">
        <v>44208</v>
      </c>
      <c r="I539">
        <v>7</v>
      </c>
      <c r="J539" t="s">
        <v>199</v>
      </c>
      <c r="L539">
        <v>0</v>
      </c>
      <c r="M539">
        <v>0</v>
      </c>
      <c r="U539">
        <v>919</v>
      </c>
      <c r="V539">
        <v>882</v>
      </c>
      <c r="W539">
        <v>0</v>
      </c>
      <c r="X539">
        <v>0</v>
      </c>
      <c r="Y539">
        <v>107</v>
      </c>
      <c r="Z539">
        <v>88</v>
      </c>
      <c r="AA539">
        <v>0</v>
      </c>
      <c r="AB539">
        <v>0</v>
      </c>
      <c r="AC539">
        <v>5</v>
      </c>
      <c r="AD539">
        <v>5</v>
      </c>
      <c r="AG539" t="s">
        <v>1</v>
      </c>
      <c r="AH539" t="s">
        <v>435</v>
      </c>
      <c r="AI539">
        <v>403</v>
      </c>
      <c r="AJ539">
        <v>111</v>
      </c>
      <c r="AK539">
        <v>161</v>
      </c>
      <c r="AL539">
        <v>32</v>
      </c>
      <c r="AM539">
        <v>11</v>
      </c>
      <c r="AN539" t="s">
        <v>49</v>
      </c>
      <c r="AO539">
        <v>0.9597388465723613</v>
      </c>
      <c r="AP539">
        <v>193</v>
      </c>
    </row>
    <row r="540" spans="1:42" x14ac:dyDescent="0.35">
      <c r="A540">
        <v>97205</v>
      </c>
      <c r="B540">
        <v>8619</v>
      </c>
      <c r="C540">
        <v>950234</v>
      </c>
      <c r="D540">
        <v>313</v>
      </c>
      <c r="E540" s="147">
        <v>44207</v>
      </c>
      <c r="F540" t="s">
        <v>538</v>
      </c>
      <c r="G540" t="s">
        <v>118</v>
      </c>
      <c r="H540" s="147">
        <v>44208</v>
      </c>
      <c r="I540">
        <v>7</v>
      </c>
      <c r="J540" t="s">
        <v>199</v>
      </c>
      <c r="L540">
        <v>0</v>
      </c>
      <c r="M540">
        <v>0</v>
      </c>
      <c r="U540">
        <v>483</v>
      </c>
      <c r="V540">
        <v>448</v>
      </c>
      <c r="W540">
        <v>0</v>
      </c>
      <c r="X540">
        <v>0</v>
      </c>
      <c r="Y540">
        <v>20</v>
      </c>
      <c r="Z540">
        <v>19</v>
      </c>
      <c r="AA540">
        <v>0</v>
      </c>
      <c r="AB540">
        <v>0</v>
      </c>
      <c r="AC540">
        <v>6</v>
      </c>
      <c r="AD540">
        <v>6</v>
      </c>
      <c r="AG540" t="s">
        <v>1</v>
      </c>
      <c r="AH540" t="s">
        <v>435</v>
      </c>
      <c r="AI540">
        <v>202</v>
      </c>
      <c r="AJ540">
        <v>53</v>
      </c>
      <c r="AK540">
        <v>80</v>
      </c>
      <c r="AL540">
        <v>11</v>
      </c>
      <c r="AM540">
        <v>12</v>
      </c>
      <c r="AN540" t="s">
        <v>49</v>
      </c>
      <c r="AO540">
        <v>0.92753623188405798</v>
      </c>
      <c r="AP540">
        <v>87</v>
      </c>
    </row>
    <row r="541" spans="1:42" x14ac:dyDescent="0.35">
      <c r="A541">
        <v>97215</v>
      </c>
      <c r="B541">
        <v>8619</v>
      </c>
      <c r="C541">
        <v>950244</v>
      </c>
      <c r="D541">
        <v>413</v>
      </c>
      <c r="E541" s="147">
        <v>44207</v>
      </c>
      <c r="F541" t="s">
        <v>520</v>
      </c>
      <c r="G541" t="s">
        <v>121</v>
      </c>
      <c r="H541" s="147">
        <v>44208</v>
      </c>
      <c r="I541">
        <v>7</v>
      </c>
      <c r="J541" t="s">
        <v>199</v>
      </c>
      <c r="L541">
        <v>0</v>
      </c>
      <c r="M541">
        <v>0</v>
      </c>
      <c r="U541">
        <v>624</v>
      </c>
      <c r="V541">
        <v>596</v>
      </c>
      <c r="W541">
        <v>0</v>
      </c>
      <c r="X541">
        <v>0</v>
      </c>
      <c r="Y541">
        <v>22</v>
      </c>
      <c r="Z541">
        <v>10</v>
      </c>
      <c r="AA541">
        <v>0</v>
      </c>
      <c r="AB541">
        <v>0</v>
      </c>
      <c r="AC541">
        <v>2</v>
      </c>
      <c r="AD541">
        <v>1</v>
      </c>
      <c r="AG541" t="s">
        <v>226</v>
      </c>
      <c r="AH541" t="s">
        <v>435</v>
      </c>
      <c r="AI541">
        <v>284</v>
      </c>
      <c r="AJ541">
        <v>76</v>
      </c>
      <c r="AK541">
        <v>78</v>
      </c>
      <c r="AL541">
        <v>14</v>
      </c>
      <c r="AM541">
        <v>11</v>
      </c>
      <c r="AN541" t="s">
        <v>49</v>
      </c>
      <c r="AO541">
        <v>0.95512820512820518</v>
      </c>
      <c r="AP541">
        <v>142</v>
      </c>
    </row>
    <row r="542" spans="1:42" x14ac:dyDescent="0.35">
      <c r="A542">
        <v>97219</v>
      </c>
      <c r="B542">
        <v>8619</v>
      </c>
      <c r="C542">
        <v>950248</v>
      </c>
      <c r="D542">
        <v>516</v>
      </c>
      <c r="E542" s="147">
        <v>44207</v>
      </c>
      <c r="F542" t="s">
        <v>587</v>
      </c>
      <c r="G542" t="s">
        <v>139</v>
      </c>
      <c r="H542" s="147">
        <v>44208</v>
      </c>
      <c r="I542">
        <v>7</v>
      </c>
      <c r="J542" t="s">
        <v>199</v>
      </c>
      <c r="L542">
        <v>0</v>
      </c>
      <c r="M542">
        <v>0</v>
      </c>
      <c r="U542">
        <v>741</v>
      </c>
      <c r="V542">
        <v>597</v>
      </c>
      <c r="W542">
        <v>0</v>
      </c>
      <c r="X542">
        <v>0</v>
      </c>
      <c r="Y542">
        <v>19</v>
      </c>
      <c r="Z542">
        <v>19</v>
      </c>
      <c r="AA542">
        <v>0</v>
      </c>
      <c r="AB542">
        <v>0</v>
      </c>
      <c r="AC542">
        <v>6</v>
      </c>
      <c r="AD542">
        <v>2</v>
      </c>
      <c r="AG542" t="s">
        <v>226</v>
      </c>
      <c r="AH542" t="s">
        <v>435</v>
      </c>
      <c r="AI542">
        <v>291</v>
      </c>
      <c r="AJ542">
        <v>71</v>
      </c>
      <c r="AK542">
        <v>119</v>
      </c>
      <c r="AL542">
        <v>24</v>
      </c>
      <c r="AM542">
        <v>29</v>
      </c>
      <c r="AN542" t="s">
        <v>49</v>
      </c>
      <c r="AO542">
        <v>0.80566801619433204</v>
      </c>
      <c r="AP542">
        <v>125</v>
      </c>
    </row>
    <row r="543" spans="1:42" x14ac:dyDescent="0.35">
      <c r="A543">
        <v>97221</v>
      </c>
      <c r="B543">
        <v>8619</v>
      </c>
      <c r="C543">
        <v>950250</v>
      </c>
      <c r="D543">
        <v>408</v>
      </c>
      <c r="E543" s="147">
        <v>44207</v>
      </c>
      <c r="F543" t="s">
        <v>588</v>
      </c>
      <c r="G543" t="s">
        <v>148</v>
      </c>
      <c r="H543" s="147">
        <v>44208</v>
      </c>
      <c r="I543">
        <v>7</v>
      </c>
      <c r="J543" t="s">
        <v>199</v>
      </c>
      <c r="L543">
        <v>0</v>
      </c>
      <c r="M543">
        <v>0</v>
      </c>
      <c r="U543">
        <v>622</v>
      </c>
      <c r="V543">
        <v>565</v>
      </c>
      <c r="W543">
        <v>0</v>
      </c>
      <c r="X543">
        <v>0</v>
      </c>
      <c r="Y543">
        <v>22</v>
      </c>
      <c r="Z543">
        <v>19</v>
      </c>
      <c r="AA543">
        <v>0</v>
      </c>
      <c r="AB543">
        <v>0</v>
      </c>
      <c r="AC543">
        <v>18</v>
      </c>
      <c r="AD543">
        <v>10</v>
      </c>
      <c r="AG543" t="s">
        <v>226</v>
      </c>
      <c r="AH543" t="s">
        <v>435</v>
      </c>
      <c r="AI543">
        <v>246</v>
      </c>
      <c r="AJ543">
        <v>81</v>
      </c>
      <c r="AK543">
        <v>101</v>
      </c>
      <c r="AL543">
        <v>19</v>
      </c>
      <c r="AM543">
        <v>19</v>
      </c>
      <c r="AN543" t="s">
        <v>49</v>
      </c>
      <c r="AO543">
        <v>0.90836012861736337</v>
      </c>
      <c r="AP543">
        <v>129</v>
      </c>
    </row>
    <row r="544" spans="1:42" x14ac:dyDescent="0.35">
      <c r="A544">
        <v>97222</v>
      </c>
      <c r="B544">
        <v>8619</v>
      </c>
      <c r="C544">
        <v>950251</v>
      </c>
      <c r="D544">
        <v>393</v>
      </c>
      <c r="E544" s="147">
        <v>44207</v>
      </c>
      <c r="F544" t="s">
        <v>566</v>
      </c>
      <c r="G544" t="s">
        <v>153</v>
      </c>
      <c r="H544" s="147">
        <v>44208</v>
      </c>
      <c r="I544">
        <v>7</v>
      </c>
      <c r="J544" t="s">
        <v>199</v>
      </c>
      <c r="L544">
        <v>0</v>
      </c>
      <c r="M544">
        <v>0</v>
      </c>
      <c r="U544">
        <v>878</v>
      </c>
      <c r="V544">
        <v>683</v>
      </c>
      <c r="W544">
        <v>0</v>
      </c>
      <c r="X544">
        <v>0</v>
      </c>
      <c r="Y544">
        <v>30</v>
      </c>
      <c r="Z544">
        <v>27</v>
      </c>
      <c r="AA544">
        <v>0</v>
      </c>
      <c r="AB544">
        <v>0</v>
      </c>
      <c r="AC544">
        <v>14</v>
      </c>
      <c r="AD544">
        <v>12</v>
      </c>
      <c r="AG544" t="s">
        <v>226</v>
      </c>
      <c r="AH544" t="s">
        <v>435</v>
      </c>
      <c r="AI544">
        <v>362</v>
      </c>
      <c r="AJ544">
        <v>134</v>
      </c>
      <c r="AK544">
        <v>139</v>
      </c>
      <c r="AL544">
        <v>25</v>
      </c>
      <c r="AM544">
        <v>38</v>
      </c>
      <c r="AN544" t="s">
        <v>49</v>
      </c>
      <c r="AO544">
        <v>0.77790432801822329</v>
      </c>
      <c r="AP544">
        <v>212</v>
      </c>
    </row>
    <row r="545" spans="1:42" x14ac:dyDescent="0.35">
      <c r="A545">
        <v>97223</v>
      </c>
      <c r="B545">
        <v>8619</v>
      </c>
      <c r="C545">
        <v>950252</v>
      </c>
      <c r="D545">
        <v>478</v>
      </c>
      <c r="E545" s="147">
        <v>44207</v>
      </c>
      <c r="F545" t="s">
        <v>589</v>
      </c>
      <c r="G545" t="s">
        <v>155</v>
      </c>
      <c r="H545" s="147">
        <v>44208</v>
      </c>
      <c r="I545">
        <v>7</v>
      </c>
      <c r="J545" t="s">
        <v>199</v>
      </c>
      <c r="L545">
        <v>0</v>
      </c>
      <c r="M545">
        <v>0</v>
      </c>
      <c r="U545">
        <v>864</v>
      </c>
      <c r="V545">
        <v>777</v>
      </c>
      <c r="W545">
        <v>0</v>
      </c>
      <c r="X545">
        <v>0</v>
      </c>
      <c r="Y545">
        <v>30</v>
      </c>
      <c r="Z545">
        <v>27</v>
      </c>
      <c r="AA545">
        <v>0</v>
      </c>
      <c r="AB545">
        <v>0</v>
      </c>
      <c r="AC545">
        <v>23</v>
      </c>
      <c r="AD545">
        <v>11</v>
      </c>
      <c r="AG545" t="s">
        <v>226</v>
      </c>
      <c r="AH545" t="s">
        <v>435</v>
      </c>
      <c r="AI545">
        <v>294</v>
      </c>
      <c r="AJ545">
        <v>88</v>
      </c>
      <c r="AK545">
        <v>156</v>
      </c>
      <c r="AL545">
        <v>32</v>
      </c>
      <c r="AM545">
        <v>10</v>
      </c>
      <c r="AN545" t="s">
        <v>49</v>
      </c>
      <c r="AO545">
        <v>0.89930555555555558</v>
      </c>
      <c r="AP545">
        <v>139</v>
      </c>
    </row>
    <row r="546" spans="1:42" x14ac:dyDescent="0.35">
      <c r="A546">
        <v>97224</v>
      </c>
      <c r="B546">
        <v>8619</v>
      </c>
      <c r="C546">
        <v>950253</v>
      </c>
      <c r="D546">
        <v>441</v>
      </c>
      <c r="E546" s="147">
        <v>44207</v>
      </c>
      <c r="F546" t="s">
        <v>590</v>
      </c>
      <c r="G546" t="s">
        <v>158</v>
      </c>
      <c r="H546" s="147">
        <v>44208</v>
      </c>
      <c r="I546">
        <v>7</v>
      </c>
      <c r="J546" t="s">
        <v>199</v>
      </c>
      <c r="L546">
        <v>0</v>
      </c>
      <c r="M546">
        <v>0</v>
      </c>
      <c r="U546">
        <v>2409</v>
      </c>
      <c r="V546">
        <v>2213</v>
      </c>
      <c r="W546">
        <v>0</v>
      </c>
      <c r="X546">
        <v>0</v>
      </c>
      <c r="Y546">
        <v>158</v>
      </c>
      <c r="Z546">
        <v>158</v>
      </c>
      <c r="AA546">
        <v>0</v>
      </c>
      <c r="AB546">
        <v>0</v>
      </c>
      <c r="AC546">
        <v>9</v>
      </c>
      <c r="AD546">
        <v>9</v>
      </c>
      <c r="AG546" t="s">
        <v>226</v>
      </c>
      <c r="AH546" t="s">
        <v>435</v>
      </c>
      <c r="AI546">
        <v>1209</v>
      </c>
      <c r="AJ546">
        <v>431</v>
      </c>
      <c r="AK546">
        <v>360</v>
      </c>
      <c r="AL546">
        <v>50</v>
      </c>
      <c r="AM546">
        <v>55</v>
      </c>
      <c r="AN546" t="s">
        <v>49</v>
      </c>
      <c r="AO546">
        <v>0.91863843918638444</v>
      </c>
      <c r="AP546">
        <v>690</v>
      </c>
    </row>
    <row r="547" spans="1:42" x14ac:dyDescent="0.35">
      <c r="A547">
        <v>97226</v>
      </c>
      <c r="B547">
        <v>8619</v>
      </c>
      <c r="C547">
        <v>950255</v>
      </c>
      <c r="D547">
        <v>453</v>
      </c>
      <c r="E547" s="147">
        <v>44207</v>
      </c>
      <c r="F547" t="s">
        <v>564</v>
      </c>
      <c r="G547" t="s">
        <v>225</v>
      </c>
      <c r="H547" s="147">
        <v>44208</v>
      </c>
      <c r="I547">
        <v>7</v>
      </c>
      <c r="J547" t="s">
        <v>199</v>
      </c>
      <c r="L547">
        <v>0</v>
      </c>
      <c r="M547">
        <v>0</v>
      </c>
      <c r="U547">
        <v>1306</v>
      </c>
      <c r="V547">
        <v>1154</v>
      </c>
      <c r="W547">
        <v>0</v>
      </c>
      <c r="X547">
        <v>0</v>
      </c>
      <c r="Y547">
        <v>71</v>
      </c>
      <c r="Z547">
        <v>52</v>
      </c>
      <c r="AA547">
        <v>0</v>
      </c>
      <c r="AB547">
        <v>0</v>
      </c>
      <c r="AC547">
        <v>25</v>
      </c>
      <c r="AD547">
        <v>13</v>
      </c>
      <c r="AG547" t="s">
        <v>226</v>
      </c>
      <c r="AH547" t="s">
        <v>435</v>
      </c>
      <c r="AI547">
        <v>454</v>
      </c>
      <c r="AJ547">
        <v>150</v>
      </c>
      <c r="AK547">
        <v>186</v>
      </c>
      <c r="AL547">
        <v>25</v>
      </c>
      <c r="AM547">
        <v>4</v>
      </c>
      <c r="AN547" t="s">
        <v>49</v>
      </c>
      <c r="AO547">
        <v>0.88361408882082693</v>
      </c>
      <c r="AP547">
        <v>230</v>
      </c>
    </row>
    <row r="548" spans="1:42" x14ac:dyDescent="0.35">
      <c r="A548">
        <v>97240</v>
      </c>
      <c r="B548">
        <v>8619</v>
      </c>
      <c r="C548">
        <v>950269</v>
      </c>
      <c r="D548">
        <v>477</v>
      </c>
      <c r="E548" s="147">
        <v>44207</v>
      </c>
      <c r="F548" t="s">
        <v>578</v>
      </c>
      <c r="G548" t="s">
        <v>260</v>
      </c>
      <c r="H548" s="147">
        <v>44208</v>
      </c>
      <c r="I548">
        <v>7</v>
      </c>
      <c r="J548" t="s">
        <v>199</v>
      </c>
      <c r="L548">
        <v>0</v>
      </c>
      <c r="M548">
        <v>0</v>
      </c>
      <c r="U548">
        <v>857</v>
      </c>
      <c r="V548">
        <v>792</v>
      </c>
      <c r="W548">
        <v>0</v>
      </c>
      <c r="X548">
        <v>0</v>
      </c>
      <c r="Y548">
        <v>73</v>
      </c>
      <c r="Z548">
        <v>48</v>
      </c>
      <c r="AA548">
        <v>0</v>
      </c>
      <c r="AB548">
        <v>0</v>
      </c>
      <c r="AC548">
        <v>5</v>
      </c>
      <c r="AD548">
        <v>4</v>
      </c>
      <c r="AG548" t="s">
        <v>258</v>
      </c>
      <c r="AH548" t="s">
        <v>435</v>
      </c>
      <c r="AI548">
        <v>337</v>
      </c>
      <c r="AJ548">
        <v>102</v>
      </c>
      <c r="AK548">
        <v>135</v>
      </c>
      <c r="AL548">
        <v>16</v>
      </c>
      <c r="AM548">
        <v>5</v>
      </c>
      <c r="AN548" t="s">
        <v>49</v>
      </c>
      <c r="AO548">
        <v>0.92415402567094518</v>
      </c>
      <c r="AP548">
        <v>167</v>
      </c>
    </row>
    <row r="549" spans="1:42" x14ac:dyDescent="0.35">
      <c r="A549">
        <v>97250</v>
      </c>
      <c r="B549">
        <v>8619</v>
      </c>
      <c r="C549">
        <v>950279</v>
      </c>
      <c r="D549">
        <v>25511</v>
      </c>
      <c r="E549" s="147">
        <v>44207</v>
      </c>
      <c r="F549" t="s">
        <v>579</v>
      </c>
      <c r="G549" t="s">
        <v>290</v>
      </c>
      <c r="H549" s="147">
        <v>44208</v>
      </c>
      <c r="I549">
        <v>7</v>
      </c>
      <c r="J549" t="s">
        <v>199</v>
      </c>
      <c r="L549">
        <v>0</v>
      </c>
      <c r="M549">
        <v>0</v>
      </c>
      <c r="U549">
        <v>1024</v>
      </c>
      <c r="V549">
        <v>835</v>
      </c>
      <c r="W549">
        <v>0</v>
      </c>
      <c r="X549">
        <v>0</v>
      </c>
      <c r="Y549">
        <v>27</v>
      </c>
      <c r="Z549">
        <v>27</v>
      </c>
      <c r="AA549">
        <v>0</v>
      </c>
      <c r="AB549">
        <v>0</v>
      </c>
      <c r="AC549">
        <v>7</v>
      </c>
      <c r="AD549">
        <v>7</v>
      </c>
      <c r="AG549" t="s">
        <v>258</v>
      </c>
      <c r="AH549" t="s">
        <v>435</v>
      </c>
      <c r="AI549">
        <v>358</v>
      </c>
      <c r="AJ549">
        <v>120</v>
      </c>
      <c r="AK549">
        <v>134</v>
      </c>
      <c r="AL549">
        <v>21</v>
      </c>
      <c r="AM549">
        <v>2</v>
      </c>
      <c r="AN549" t="s">
        <v>49</v>
      </c>
      <c r="AO549">
        <v>0.8154296875</v>
      </c>
      <c r="AP549">
        <v>192</v>
      </c>
    </row>
    <row r="550" spans="1:42" x14ac:dyDescent="0.35">
      <c r="A550">
        <v>97253</v>
      </c>
      <c r="B550">
        <v>8619</v>
      </c>
      <c r="C550">
        <v>950282</v>
      </c>
      <c r="D550">
        <v>331</v>
      </c>
      <c r="E550" s="147">
        <v>44207</v>
      </c>
      <c r="F550" t="s">
        <v>575</v>
      </c>
      <c r="G550" t="s">
        <v>173</v>
      </c>
      <c r="H550" s="147">
        <v>44208</v>
      </c>
      <c r="I550">
        <v>7</v>
      </c>
      <c r="J550" t="s">
        <v>199</v>
      </c>
      <c r="L550">
        <v>0</v>
      </c>
      <c r="M550">
        <v>0</v>
      </c>
      <c r="U550">
        <v>772</v>
      </c>
      <c r="V550">
        <v>702</v>
      </c>
      <c r="W550">
        <v>0</v>
      </c>
      <c r="X550">
        <v>0</v>
      </c>
      <c r="Y550">
        <v>26</v>
      </c>
      <c r="Z550">
        <v>19</v>
      </c>
      <c r="AA550">
        <v>0</v>
      </c>
      <c r="AB550">
        <v>0</v>
      </c>
      <c r="AC550">
        <v>2</v>
      </c>
      <c r="AD550">
        <v>2</v>
      </c>
      <c r="AG550" t="s">
        <v>258</v>
      </c>
      <c r="AH550" t="s">
        <v>435</v>
      </c>
      <c r="AI550">
        <v>337</v>
      </c>
      <c r="AJ550">
        <v>80</v>
      </c>
      <c r="AK550">
        <v>148</v>
      </c>
      <c r="AL550">
        <v>15</v>
      </c>
      <c r="AM550">
        <v>3</v>
      </c>
      <c r="AN550" t="s">
        <v>49</v>
      </c>
      <c r="AO550">
        <v>0.90932642487046633</v>
      </c>
      <c r="AP550">
        <v>162</v>
      </c>
    </row>
    <row r="551" spans="1:42" x14ac:dyDescent="0.35">
      <c r="A551">
        <v>97255</v>
      </c>
      <c r="B551">
        <v>8619</v>
      </c>
      <c r="C551">
        <v>950284</v>
      </c>
      <c r="D551">
        <v>508</v>
      </c>
      <c r="E551" s="147">
        <v>44207</v>
      </c>
      <c r="F551" t="s">
        <v>569</v>
      </c>
      <c r="G551" t="s">
        <v>71</v>
      </c>
      <c r="H551" s="147">
        <v>44208</v>
      </c>
      <c r="I551">
        <v>7</v>
      </c>
      <c r="J551" t="s">
        <v>199</v>
      </c>
      <c r="L551">
        <v>0</v>
      </c>
      <c r="M551">
        <v>0</v>
      </c>
      <c r="U551">
        <v>681</v>
      </c>
      <c r="V551">
        <v>632</v>
      </c>
      <c r="W551">
        <v>0</v>
      </c>
      <c r="X551">
        <v>0</v>
      </c>
      <c r="Y551">
        <v>48</v>
      </c>
      <c r="Z551">
        <v>28</v>
      </c>
      <c r="AA551">
        <v>0</v>
      </c>
      <c r="AB551">
        <v>0</v>
      </c>
      <c r="AC551">
        <v>4</v>
      </c>
      <c r="AD551">
        <v>2</v>
      </c>
      <c r="AG551" t="s">
        <v>255</v>
      </c>
      <c r="AH551" t="s">
        <v>435</v>
      </c>
      <c r="AI551">
        <v>325</v>
      </c>
      <c r="AJ551">
        <v>107</v>
      </c>
      <c r="AK551">
        <v>87</v>
      </c>
      <c r="AL551">
        <v>12</v>
      </c>
      <c r="AM551">
        <v>6</v>
      </c>
      <c r="AN551" t="s">
        <v>49</v>
      </c>
      <c r="AO551">
        <v>0.92804698972099853</v>
      </c>
      <c r="AP551">
        <v>175</v>
      </c>
    </row>
    <row r="552" spans="1:42" x14ac:dyDescent="0.35">
      <c r="A552">
        <v>97259</v>
      </c>
      <c r="B552">
        <v>8619</v>
      </c>
      <c r="C552">
        <v>950288</v>
      </c>
      <c r="D552">
        <v>513</v>
      </c>
      <c r="E552" s="147">
        <v>44207</v>
      </c>
      <c r="F552" t="s">
        <v>571</v>
      </c>
      <c r="G552" t="s">
        <v>89</v>
      </c>
      <c r="H552" s="147">
        <v>44208</v>
      </c>
      <c r="I552">
        <v>7</v>
      </c>
      <c r="J552" t="s">
        <v>199</v>
      </c>
      <c r="L552">
        <v>0</v>
      </c>
      <c r="M552">
        <v>0</v>
      </c>
      <c r="U552">
        <v>823</v>
      </c>
      <c r="V552">
        <v>749</v>
      </c>
      <c r="W552">
        <v>0</v>
      </c>
      <c r="X552">
        <v>0</v>
      </c>
      <c r="Y552">
        <v>52</v>
      </c>
      <c r="Z552">
        <v>50</v>
      </c>
      <c r="AA552">
        <v>0</v>
      </c>
      <c r="AB552">
        <v>0</v>
      </c>
      <c r="AC552">
        <v>8</v>
      </c>
      <c r="AD552">
        <v>7</v>
      </c>
      <c r="AG552" t="s">
        <v>255</v>
      </c>
      <c r="AH552" t="s">
        <v>435</v>
      </c>
      <c r="AI552">
        <v>381</v>
      </c>
      <c r="AJ552">
        <v>156</v>
      </c>
      <c r="AK552">
        <v>118</v>
      </c>
      <c r="AL552">
        <v>22</v>
      </c>
      <c r="AM552">
        <v>1</v>
      </c>
      <c r="AN552" t="s">
        <v>49</v>
      </c>
      <c r="AO552">
        <v>0.91008505467800727</v>
      </c>
      <c r="AP552">
        <v>250</v>
      </c>
    </row>
    <row r="553" spans="1:42" x14ac:dyDescent="0.35">
      <c r="A553">
        <v>97260</v>
      </c>
      <c r="B553">
        <v>8619</v>
      </c>
      <c r="C553">
        <v>950289</v>
      </c>
      <c r="D553">
        <v>510</v>
      </c>
      <c r="E553" s="147">
        <v>44207</v>
      </c>
      <c r="F553" t="s">
        <v>542</v>
      </c>
      <c r="G553" t="s">
        <v>107</v>
      </c>
      <c r="H553" s="147">
        <v>44208</v>
      </c>
      <c r="I553">
        <v>7</v>
      </c>
      <c r="J553" t="s">
        <v>199</v>
      </c>
      <c r="L553">
        <v>0</v>
      </c>
      <c r="M553">
        <v>0</v>
      </c>
      <c r="U553">
        <v>623</v>
      </c>
      <c r="V553">
        <v>566</v>
      </c>
      <c r="W553">
        <v>0</v>
      </c>
      <c r="X553">
        <v>0</v>
      </c>
      <c r="Y553">
        <v>36</v>
      </c>
      <c r="Z553">
        <v>33</v>
      </c>
      <c r="AA553">
        <v>0</v>
      </c>
      <c r="AB553">
        <v>0</v>
      </c>
      <c r="AC553">
        <v>28</v>
      </c>
      <c r="AD553">
        <v>14</v>
      </c>
      <c r="AG553" t="s">
        <v>255</v>
      </c>
      <c r="AH553" t="s">
        <v>435</v>
      </c>
      <c r="AI553">
        <v>364</v>
      </c>
      <c r="AJ553">
        <v>117</v>
      </c>
      <c r="AK553">
        <v>79</v>
      </c>
      <c r="AL553">
        <v>1</v>
      </c>
      <c r="AM553">
        <v>1</v>
      </c>
      <c r="AN553" t="s">
        <v>49</v>
      </c>
      <c r="AO553">
        <v>0.9085072231139647</v>
      </c>
      <c r="AP553">
        <v>196</v>
      </c>
    </row>
    <row r="554" spans="1:42" x14ac:dyDescent="0.35">
      <c r="A554">
        <v>97264</v>
      </c>
      <c r="B554">
        <v>8619</v>
      </c>
      <c r="C554">
        <v>950293</v>
      </c>
      <c r="D554">
        <v>476</v>
      </c>
      <c r="E554" s="147">
        <v>44207</v>
      </c>
      <c r="F554" t="s">
        <v>572</v>
      </c>
      <c r="G554" t="s">
        <v>127</v>
      </c>
      <c r="H554" s="147">
        <v>44208</v>
      </c>
      <c r="I554">
        <v>7</v>
      </c>
      <c r="J554" t="s">
        <v>199</v>
      </c>
      <c r="L554">
        <v>0</v>
      </c>
      <c r="M554">
        <v>0</v>
      </c>
      <c r="U554">
        <v>1056</v>
      </c>
      <c r="V554">
        <v>858</v>
      </c>
      <c r="W554">
        <v>0</v>
      </c>
      <c r="X554">
        <v>0</v>
      </c>
      <c r="Y554">
        <v>45</v>
      </c>
      <c r="Z554">
        <v>37</v>
      </c>
      <c r="AA554">
        <v>0</v>
      </c>
      <c r="AB554">
        <v>0</v>
      </c>
      <c r="AC554">
        <v>11</v>
      </c>
      <c r="AD554">
        <v>9</v>
      </c>
      <c r="AG554" t="s">
        <v>255</v>
      </c>
      <c r="AH554" t="s">
        <v>435</v>
      </c>
      <c r="AI554">
        <v>378</v>
      </c>
      <c r="AJ554">
        <v>118</v>
      </c>
      <c r="AK554">
        <v>180</v>
      </c>
      <c r="AL554">
        <v>22</v>
      </c>
      <c r="AM554">
        <v>1</v>
      </c>
      <c r="AN554" t="s">
        <v>49</v>
      </c>
      <c r="AO554">
        <v>0.8125</v>
      </c>
      <c r="AP554">
        <v>216</v>
      </c>
    </row>
    <row r="555" spans="1:42" x14ac:dyDescent="0.35">
      <c r="A555">
        <v>97271</v>
      </c>
      <c r="B555">
        <v>8619</v>
      </c>
      <c r="C555">
        <v>950300</v>
      </c>
      <c r="D555">
        <v>489</v>
      </c>
      <c r="E555" s="147">
        <v>44207</v>
      </c>
      <c r="F555" t="s">
        <v>519</v>
      </c>
      <c r="G555" t="s">
        <v>434</v>
      </c>
      <c r="H555" s="147">
        <v>44208</v>
      </c>
      <c r="I555">
        <v>7</v>
      </c>
      <c r="J555" t="s">
        <v>199</v>
      </c>
      <c r="L555">
        <v>0</v>
      </c>
      <c r="M555">
        <v>0</v>
      </c>
      <c r="U555">
        <v>521</v>
      </c>
      <c r="V555">
        <v>479</v>
      </c>
      <c r="W555">
        <v>0</v>
      </c>
      <c r="X555">
        <v>0</v>
      </c>
      <c r="Y555">
        <v>18</v>
      </c>
      <c r="Z555">
        <v>18</v>
      </c>
      <c r="AA555">
        <v>0</v>
      </c>
      <c r="AB555">
        <v>0</v>
      </c>
      <c r="AC555">
        <v>3</v>
      </c>
      <c r="AD555">
        <v>1</v>
      </c>
      <c r="AG555" t="s">
        <v>255</v>
      </c>
      <c r="AH555" t="s">
        <v>435</v>
      </c>
      <c r="AI555">
        <v>270</v>
      </c>
      <c r="AJ555">
        <v>108</v>
      </c>
      <c r="AK555">
        <v>0</v>
      </c>
      <c r="AL555">
        <v>0</v>
      </c>
      <c r="AM555">
        <v>4</v>
      </c>
      <c r="AN555" t="s">
        <v>49</v>
      </c>
      <c r="AO555">
        <v>0.91938579654510555</v>
      </c>
      <c r="AP555">
        <v>167</v>
      </c>
    </row>
    <row r="556" spans="1:42" x14ac:dyDescent="0.35">
      <c r="A556">
        <v>97272</v>
      </c>
      <c r="B556">
        <v>8619</v>
      </c>
      <c r="C556">
        <v>950301</v>
      </c>
      <c r="D556">
        <v>321</v>
      </c>
      <c r="E556" s="147">
        <v>44207</v>
      </c>
      <c r="F556" t="s">
        <v>591</v>
      </c>
      <c r="G556" t="s">
        <v>168</v>
      </c>
      <c r="H556" s="147">
        <v>44208</v>
      </c>
      <c r="I556">
        <v>7</v>
      </c>
      <c r="J556" t="s">
        <v>199</v>
      </c>
      <c r="L556">
        <v>0</v>
      </c>
      <c r="M556">
        <v>0</v>
      </c>
      <c r="U556">
        <v>656</v>
      </c>
      <c r="V556">
        <v>615</v>
      </c>
      <c r="W556">
        <v>0</v>
      </c>
      <c r="X556">
        <v>0</v>
      </c>
      <c r="Y556">
        <v>18</v>
      </c>
      <c r="Z556">
        <v>15</v>
      </c>
      <c r="AA556">
        <v>0</v>
      </c>
      <c r="AB556">
        <v>0</v>
      </c>
      <c r="AC556">
        <v>7</v>
      </c>
      <c r="AD556">
        <v>3</v>
      </c>
      <c r="AG556" t="s">
        <v>255</v>
      </c>
      <c r="AH556" t="s">
        <v>435</v>
      </c>
      <c r="AI556">
        <v>316</v>
      </c>
      <c r="AJ556">
        <v>126</v>
      </c>
      <c r="AK556">
        <v>62</v>
      </c>
      <c r="AL556">
        <v>7</v>
      </c>
      <c r="AM556">
        <v>11</v>
      </c>
      <c r="AN556" t="s">
        <v>49</v>
      </c>
      <c r="AO556">
        <v>0.9375</v>
      </c>
      <c r="AP556">
        <v>211</v>
      </c>
    </row>
    <row r="557" spans="1:42" x14ac:dyDescent="0.35">
      <c r="A557">
        <v>97274</v>
      </c>
      <c r="B557">
        <v>8619</v>
      </c>
      <c r="C557">
        <v>950303</v>
      </c>
      <c r="D557">
        <v>455</v>
      </c>
      <c r="E557" s="147">
        <v>44207</v>
      </c>
      <c r="F557" t="s">
        <v>544</v>
      </c>
      <c r="G557" t="s">
        <v>66</v>
      </c>
      <c r="H557" s="147">
        <v>44208</v>
      </c>
      <c r="I557">
        <v>7</v>
      </c>
      <c r="J557" t="s">
        <v>199</v>
      </c>
      <c r="L557">
        <v>0</v>
      </c>
      <c r="M557">
        <v>0</v>
      </c>
      <c r="U557">
        <v>474</v>
      </c>
      <c r="V557">
        <v>420</v>
      </c>
      <c r="W557">
        <v>0</v>
      </c>
      <c r="X557">
        <v>0</v>
      </c>
      <c r="Y557">
        <v>26</v>
      </c>
      <c r="Z557">
        <v>23</v>
      </c>
      <c r="AA557">
        <v>0</v>
      </c>
      <c r="AB557">
        <v>0</v>
      </c>
      <c r="AC557">
        <v>8</v>
      </c>
      <c r="AD557">
        <v>2</v>
      </c>
      <c r="AG557" t="s">
        <v>223</v>
      </c>
      <c r="AH557" t="s">
        <v>435</v>
      </c>
      <c r="AI557">
        <v>184</v>
      </c>
      <c r="AJ557">
        <v>64</v>
      </c>
      <c r="AK557">
        <v>73</v>
      </c>
      <c r="AL557">
        <v>4</v>
      </c>
      <c r="AM557">
        <v>3</v>
      </c>
      <c r="AN557" t="s">
        <v>49</v>
      </c>
      <c r="AO557">
        <v>0.88607594936708856</v>
      </c>
      <c r="AP557">
        <v>91</v>
      </c>
    </row>
    <row r="558" spans="1:42" x14ac:dyDescent="0.35">
      <c r="A558">
        <v>97278</v>
      </c>
      <c r="B558">
        <v>8619</v>
      </c>
      <c r="C558">
        <v>950307</v>
      </c>
      <c r="D558">
        <v>469</v>
      </c>
      <c r="E558" s="147">
        <v>44207</v>
      </c>
      <c r="F558" t="s">
        <v>559</v>
      </c>
      <c r="G558" t="s">
        <v>88</v>
      </c>
      <c r="H558" s="147">
        <v>44208</v>
      </c>
      <c r="I558">
        <v>7</v>
      </c>
      <c r="J558" t="s">
        <v>199</v>
      </c>
      <c r="L558">
        <v>0</v>
      </c>
      <c r="M558">
        <v>0</v>
      </c>
      <c r="U558">
        <v>955</v>
      </c>
      <c r="V558">
        <v>842</v>
      </c>
      <c r="W558">
        <v>0</v>
      </c>
      <c r="X558">
        <v>0</v>
      </c>
      <c r="Y558">
        <v>49</v>
      </c>
      <c r="Z558">
        <v>35</v>
      </c>
      <c r="AA558">
        <v>0</v>
      </c>
      <c r="AB558">
        <v>0</v>
      </c>
      <c r="AC558">
        <v>39</v>
      </c>
      <c r="AD558">
        <v>23</v>
      </c>
      <c r="AG558" t="s">
        <v>223</v>
      </c>
      <c r="AH558" t="s">
        <v>435</v>
      </c>
      <c r="AI558">
        <v>368</v>
      </c>
      <c r="AJ558">
        <v>107</v>
      </c>
      <c r="AK558">
        <v>139</v>
      </c>
      <c r="AL558">
        <v>22</v>
      </c>
      <c r="AM558">
        <v>10</v>
      </c>
      <c r="AN558" t="s">
        <v>49</v>
      </c>
      <c r="AO558">
        <v>0.88167539267015704</v>
      </c>
      <c r="AP558">
        <v>187</v>
      </c>
    </row>
    <row r="559" spans="1:42" x14ac:dyDescent="0.35">
      <c r="A559">
        <v>97279</v>
      </c>
      <c r="B559">
        <v>8619</v>
      </c>
      <c r="C559">
        <v>950308</v>
      </c>
      <c r="D559">
        <v>502</v>
      </c>
      <c r="E559" s="147">
        <v>44207</v>
      </c>
      <c r="F559" t="s">
        <v>592</v>
      </c>
      <c r="G559" t="s">
        <v>90</v>
      </c>
      <c r="H559" s="147">
        <v>44208</v>
      </c>
      <c r="I559">
        <v>7</v>
      </c>
      <c r="J559" t="s">
        <v>199</v>
      </c>
      <c r="L559">
        <v>0</v>
      </c>
      <c r="M559">
        <v>0</v>
      </c>
      <c r="U559">
        <v>763</v>
      </c>
      <c r="V559">
        <v>706</v>
      </c>
      <c r="W559">
        <v>0</v>
      </c>
      <c r="X559">
        <v>0</v>
      </c>
      <c r="Y559">
        <v>29</v>
      </c>
      <c r="Z559">
        <v>28</v>
      </c>
      <c r="AA559">
        <v>0</v>
      </c>
      <c r="AB559">
        <v>0</v>
      </c>
      <c r="AC559">
        <v>12</v>
      </c>
      <c r="AD559">
        <v>3</v>
      </c>
      <c r="AG559" t="s">
        <v>223</v>
      </c>
      <c r="AH559" t="s">
        <v>435</v>
      </c>
      <c r="AI559">
        <v>369</v>
      </c>
      <c r="AJ559">
        <v>133</v>
      </c>
      <c r="AK559">
        <v>89</v>
      </c>
      <c r="AL559">
        <v>14</v>
      </c>
      <c r="AM559">
        <v>16</v>
      </c>
      <c r="AN559" t="s">
        <v>49</v>
      </c>
      <c r="AO559">
        <v>0.92529488859764086</v>
      </c>
      <c r="AP559">
        <v>204</v>
      </c>
    </row>
    <row r="560" spans="1:42" x14ac:dyDescent="0.35">
      <c r="A560">
        <v>97280</v>
      </c>
      <c r="B560">
        <v>8619</v>
      </c>
      <c r="C560">
        <v>950309</v>
      </c>
      <c r="D560">
        <v>344</v>
      </c>
      <c r="E560" s="147">
        <v>44207</v>
      </c>
      <c r="F560" t="s">
        <v>540</v>
      </c>
      <c r="G560" t="s">
        <v>92</v>
      </c>
      <c r="H560" s="147">
        <v>44208</v>
      </c>
      <c r="I560">
        <v>7</v>
      </c>
      <c r="J560" t="s">
        <v>199</v>
      </c>
      <c r="L560">
        <v>0</v>
      </c>
      <c r="M560">
        <v>0</v>
      </c>
      <c r="U560">
        <v>1231</v>
      </c>
      <c r="V560">
        <v>1114</v>
      </c>
      <c r="W560">
        <v>0</v>
      </c>
      <c r="X560">
        <v>0</v>
      </c>
      <c r="Y560">
        <v>62</v>
      </c>
      <c r="Z560">
        <v>53</v>
      </c>
      <c r="AA560">
        <v>0</v>
      </c>
      <c r="AB560">
        <v>0</v>
      </c>
      <c r="AC560">
        <v>10</v>
      </c>
      <c r="AD560">
        <v>3</v>
      </c>
      <c r="AG560" t="s">
        <v>223</v>
      </c>
      <c r="AH560" t="s">
        <v>435</v>
      </c>
      <c r="AI560">
        <v>492</v>
      </c>
      <c r="AJ560">
        <v>127</v>
      </c>
      <c r="AK560">
        <v>205</v>
      </c>
      <c r="AL560">
        <v>5</v>
      </c>
      <c r="AM560">
        <v>1</v>
      </c>
      <c r="AN560" t="s">
        <v>49</v>
      </c>
      <c r="AO560">
        <v>0.90495532087733555</v>
      </c>
      <c r="AP560">
        <v>253</v>
      </c>
    </row>
    <row r="561" spans="1:42" x14ac:dyDescent="0.35">
      <c r="A561">
        <v>97284</v>
      </c>
      <c r="B561">
        <v>8619</v>
      </c>
      <c r="C561">
        <v>950313</v>
      </c>
      <c r="D561">
        <v>421</v>
      </c>
      <c r="E561" s="147">
        <v>44207</v>
      </c>
      <c r="F561" t="s">
        <v>593</v>
      </c>
      <c r="G561" t="s">
        <v>112</v>
      </c>
      <c r="H561" s="147">
        <v>44208</v>
      </c>
      <c r="I561">
        <v>7</v>
      </c>
      <c r="J561" t="s">
        <v>199</v>
      </c>
      <c r="L561">
        <v>0</v>
      </c>
      <c r="M561">
        <v>0</v>
      </c>
      <c r="U561">
        <v>468</v>
      </c>
      <c r="V561">
        <v>421</v>
      </c>
      <c r="W561">
        <v>0</v>
      </c>
      <c r="X561">
        <v>0</v>
      </c>
      <c r="Y561">
        <v>35</v>
      </c>
      <c r="Z561">
        <v>30</v>
      </c>
      <c r="AA561">
        <v>0</v>
      </c>
      <c r="AB561">
        <v>0</v>
      </c>
      <c r="AC561">
        <v>20</v>
      </c>
      <c r="AD561">
        <v>11</v>
      </c>
      <c r="AG561" t="s">
        <v>223</v>
      </c>
      <c r="AH561" t="s">
        <v>435</v>
      </c>
      <c r="AI561">
        <v>196</v>
      </c>
      <c r="AJ561">
        <v>44</v>
      </c>
      <c r="AK561">
        <v>105</v>
      </c>
      <c r="AL561">
        <v>13</v>
      </c>
      <c r="AM561">
        <v>16</v>
      </c>
      <c r="AN561" t="s">
        <v>49</v>
      </c>
      <c r="AO561">
        <v>0.8995726495726496</v>
      </c>
      <c r="AP561">
        <v>91</v>
      </c>
    </row>
    <row r="562" spans="1:42" x14ac:dyDescent="0.35">
      <c r="A562">
        <v>97286</v>
      </c>
      <c r="B562">
        <v>8619</v>
      </c>
      <c r="C562">
        <v>950315</v>
      </c>
      <c r="D562">
        <v>370</v>
      </c>
      <c r="E562" s="147">
        <v>44207</v>
      </c>
      <c r="F562" t="s">
        <v>561</v>
      </c>
      <c r="G562" t="s">
        <v>433</v>
      </c>
      <c r="H562" s="147">
        <v>44208</v>
      </c>
      <c r="I562">
        <v>7</v>
      </c>
      <c r="J562" t="s">
        <v>199</v>
      </c>
      <c r="L562">
        <v>0</v>
      </c>
      <c r="M562">
        <v>0</v>
      </c>
      <c r="U562">
        <v>968</v>
      </c>
      <c r="V562">
        <v>908</v>
      </c>
      <c r="W562">
        <v>0</v>
      </c>
      <c r="X562">
        <v>0</v>
      </c>
      <c r="Y562">
        <v>51</v>
      </c>
      <c r="Z562">
        <v>51</v>
      </c>
      <c r="AA562">
        <v>0</v>
      </c>
      <c r="AB562">
        <v>0</v>
      </c>
      <c r="AC562">
        <v>22</v>
      </c>
      <c r="AD562">
        <v>22</v>
      </c>
      <c r="AG562" t="s">
        <v>223</v>
      </c>
      <c r="AH562" t="s">
        <v>435</v>
      </c>
      <c r="AI562">
        <v>436</v>
      </c>
      <c r="AJ562">
        <v>116</v>
      </c>
      <c r="AK562">
        <v>132</v>
      </c>
      <c r="AL562">
        <v>4</v>
      </c>
      <c r="AM562">
        <v>14</v>
      </c>
      <c r="AN562" t="s">
        <v>49</v>
      </c>
      <c r="AO562">
        <v>0.93801652892561982</v>
      </c>
      <c r="AP562">
        <v>244</v>
      </c>
    </row>
    <row r="563" spans="1:42" x14ac:dyDescent="0.35">
      <c r="A563">
        <v>97293</v>
      </c>
      <c r="B563">
        <v>8619</v>
      </c>
      <c r="C563">
        <v>950322</v>
      </c>
      <c r="D563">
        <v>451</v>
      </c>
      <c r="E563" s="147">
        <v>44207</v>
      </c>
      <c r="F563" t="s">
        <v>594</v>
      </c>
      <c r="G563" t="s">
        <v>95</v>
      </c>
      <c r="H563" s="147">
        <v>44208</v>
      </c>
      <c r="I563">
        <v>7</v>
      </c>
      <c r="J563" t="s">
        <v>199</v>
      </c>
      <c r="L563">
        <v>0</v>
      </c>
      <c r="M563">
        <v>0</v>
      </c>
      <c r="U563">
        <v>792</v>
      </c>
      <c r="V563">
        <v>722</v>
      </c>
      <c r="W563">
        <v>0</v>
      </c>
      <c r="X563">
        <v>0</v>
      </c>
      <c r="Y563">
        <v>26</v>
      </c>
      <c r="Z563">
        <v>22</v>
      </c>
      <c r="AA563">
        <v>0</v>
      </c>
      <c r="AB563">
        <v>0</v>
      </c>
      <c r="AC563">
        <v>12</v>
      </c>
      <c r="AD563">
        <v>5</v>
      </c>
      <c r="AG563" t="s">
        <v>224</v>
      </c>
      <c r="AH563" t="s">
        <v>435</v>
      </c>
      <c r="AI563">
        <v>414</v>
      </c>
      <c r="AJ563">
        <v>140</v>
      </c>
      <c r="AK563">
        <v>110</v>
      </c>
      <c r="AL563">
        <v>14</v>
      </c>
      <c r="AM563">
        <v>6</v>
      </c>
      <c r="AN563" t="s">
        <v>49</v>
      </c>
      <c r="AO563">
        <v>0.91161616161616166</v>
      </c>
      <c r="AP563">
        <v>231</v>
      </c>
    </row>
    <row r="564" spans="1:42" x14ac:dyDescent="0.35">
      <c r="A564">
        <v>97294</v>
      </c>
      <c r="B564">
        <v>8619</v>
      </c>
      <c r="C564">
        <v>950323</v>
      </c>
      <c r="D564">
        <v>405</v>
      </c>
      <c r="E564" s="147">
        <v>44207</v>
      </c>
      <c r="F564" t="s">
        <v>557</v>
      </c>
      <c r="G564" t="s">
        <v>96</v>
      </c>
      <c r="H564" s="147">
        <v>44208</v>
      </c>
      <c r="I564">
        <v>7</v>
      </c>
      <c r="J564" t="s">
        <v>199</v>
      </c>
      <c r="L564">
        <v>0</v>
      </c>
      <c r="M564">
        <v>0</v>
      </c>
      <c r="U564">
        <v>545</v>
      </c>
      <c r="V564">
        <v>516</v>
      </c>
      <c r="W564">
        <v>0</v>
      </c>
      <c r="X564">
        <v>0</v>
      </c>
      <c r="Y564">
        <v>14</v>
      </c>
      <c r="Z564">
        <v>14</v>
      </c>
      <c r="AA564">
        <v>0</v>
      </c>
      <c r="AB564">
        <v>0</v>
      </c>
      <c r="AC564">
        <v>10</v>
      </c>
      <c r="AD564">
        <v>6</v>
      </c>
      <c r="AG564" t="s">
        <v>224</v>
      </c>
      <c r="AH564" t="s">
        <v>435</v>
      </c>
      <c r="AI564">
        <v>213</v>
      </c>
      <c r="AJ564">
        <v>67</v>
      </c>
      <c r="AK564">
        <v>50</v>
      </c>
      <c r="AL564">
        <v>4</v>
      </c>
      <c r="AM564">
        <v>23</v>
      </c>
      <c r="AN564" t="s">
        <v>49</v>
      </c>
      <c r="AO564">
        <v>0.94678899082568813</v>
      </c>
      <c r="AP564">
        <v>109</v>
      </c>
    </row>
    <row r="565" spans="1:42" x14ac:dyDescent="0.35">
      <c r="A565">
        <v>97295</v>
      </c>
      <c r="B565">
        <v>8619</v>
      </c>
      <c r="C565">
        <v>950324</v>
      </c>
      <c r="D565">
        <v>465</v>
      </c>
      <c r="E565" s="147">
        <v>44207</v>
      </c>
      <c r="F565" t="s">
        <v>541</v>
      </c>
      <c r="G565" t="s">
        <v>117</v>
      </c>
      <c r="H565" s="147">
        <v>44208</v>
      </c>
      <c r="I565">
        <v>7</v>
      </c>
      <c r="J565" t="s">
        <v>199</v>
      </c>
      <c r="L565">
        <v>0</v>
      </c>
      <c r="M565">
        <v>0</v>
      </c>
      <c r="U565">
        <v>844</v>
      </c>
      <c r="V565">
        <v>813</v>
      </c>
      <c r="W565">
        <v>0</v>
      </c>
      <c r="X565">
        <v>0</v>
      </c>
      <c r="Y565">
        <v>46</v>
      </c>
      <c r="Z565">
        <v>44</v>
      </c>
      <c r="AA565">
        <v>0</v>
      </c>
      <c r="AB565">
        <v>0</v>
      </c>
      <c r="AC565">
        <v>32</v>
      </c>
      <c r="AD565">
        <v>27</v>
      </c>
      <c r="AG565" t="s">
        <v>224</v>
      </c>
      <c r="AH565" t="s">
        <v>435</v>
      </c>
      <c r="AI565">
        <v>425</v>
      </c>
      <c r="AJ565">
        <v>161</v>
      </c>
      <c r="AK565">
        <v>94</v>
      </c>
      <c r="AL565">
        <v>19</v>
      </c>
      <c r="AM565">
        <v>6</v>
      </c>
      <c r="AN565" t="s">
        <v>49</v>
      </c>
      <c r="AO565">
        <v>0.96327014218009477</v>
      </c>
      <c r="AP565">
        <v>231</v>
      </c>
    </row>
    <row r="566" spans="1:42" x14ac:dyDescent="0.35">
      <c r="A566">
        <v>97297</v>
      </c>
      <c r="B566">
        <v>8619</v>
      </c>
      <c r="C566">
        <v>950326</v>
      </c>
      <c r="D566">
        <v>348</v>
      </c>
      <c r="E566" s="147">
        <v>44207</v>
      </c>
      <c r="F566" t="s">
        <v>558</v>
      </c>
      <c r="G566" t="s">
        <v>129</v>
      </c>
      <c r="H566" s="147">
        <v>44208</v>
      </c>
      <c r="I566">
        <v>7</v>
      </c>
      <c r="J566" t="s">
        <v>199</v>
      </c>
      <c r="L566">
        <v>0</v>
      </c>
      <c r="M566">
        <v>0</v>
      </c>
      <c r="U566">
        <v>577</v>
      </c>
      <c r="V566">
        <v>496</v>
      </c>
      <c r="W566">
        <v>0</v>
      </c>
      <c r="X566">
        <v>0</v>
      </c>
      <c r="Y566">
        <v>15</v>
      </c>
      <c r="Z566">
        <v>14</v>
      </c>
      <c r="AA566">
        <v>0</v>
      </c>
      <c r="AB566">
        <v>0</v>
      </c>
      <c r="AC566">
        <v>7</v>
      </c>
      <c r="AD566">
        <v>3</v>
      </c>
      <c r="AG566" t="s">
        <v>224</v>
      </c>
      <c r="AH566" t="s">
        <v>435</v>
      </c>
      <c r="AI566">
        <v>238</v>
      </c>
      <c r="AJ566">
        <v>72</v>
      </c>
      <c r="AK566">
        <v>96</v>
      </c>
      <c r="AL566">
        <v>6</v>
      </c>
      <c r="AM566">
        <v>12</v>
      </c>
      <c r="AN566" t="s">
        <v>49</v>
      </c>
      <c r="AO566">
        <v>0.85961871750433272</v>
      </c>
      <c r="AP566">
        <v>117</v>
      </c>
    </row>
    <row r="567" spans="1:42" x14ac:dyDescent="0.35">
      <c r="A567">
        <v>97299</v>
      </c>
      <c r="B567">
        <v>8619</v>
      </c>
      <c r="C567">
        <v>950328</v>
      </c>
      <c r="D567">
        <v>337</v>
      </c>
      <c r="E567" s="147">
        <v>44207</v>
      </c>
      <c r="F567" t="s">
        <v>595</v>
      </c>
      <c r="G567" t="s">
        <v>132</v>
      </c>
      <c r="H567" s="147">
        <v>44208</v>
      </c>
      <c r="I567">
        <v>7</v>
      </c>
      <c r="J567" t="s">
        <v>199</v>
      </c>
      <c r="L567">
        <v>0</v>
      </c>
      <c r="M567">
        <v>0</v>
      </c>
      <c r="U567">
        <v>547</v>
      </c>
      <c r="V567">
        <v>477</v>
      </c>
      <c r="W567">
        <v>0</v>
      </c>
      <c r="X567">
        <v>0</v>
      </c>
      <c r="Y567">
        <v>18</v>
      </c>
      <c r="Z567">
        <v>18</v>
      </c>
      <c r="AA567">
        <v>0</v>
      </c>
      <c r="AB567">
        <v>0</v>
      </c>
      <c r="AC567">
        <v>7</v>
      </c>
      <c r="AD567">
        <v>4</v>
      </c>
      <c r="AG567" t="s">
        <v>224</v>
      </c>
      <c r="AH567" t="s">
        <v>435</v>
      </c>
      <c r="AI567">
        <v>253</v>
      </c>
      <c r="AJ567">
        <v>81</v>
      </c>
      <c r="AK567">
        <v>75</v>
      </c>
      <c r="AL567">
        <v>10</v>
      </c>
      <c r="AM567">
        <v>13</v>
      </c>
      <c r="AN567" t="s">
        <v>49</v>
      </c>
      <c r="AO567">
        <v>0.87202925045703839</v>
      </c>
      <c r="AP567">
        <v>135</v>
      </c>
    </row>
    <row r="568" spans="1:42" x14ac:dyDescent="0.35">
      <c r="A568">
        <v>97304</v>
      </c>
      <c r="B568">
        <v>8619</v>
      </c>
      <c r="C568">
        <v>950333</v>
      </c>
      <c r="D568">
        <v>25513</v>
      </c>
      <c r="E568" s="147">
        <v>44207</v>
      </c>
      <c r="F568" t="s">
        <v>596</v>
      </c>
      <c r="G568" t="s">
        <v>437</v>
      </c>
      <c r="H568" s="147">
        <v>44208</v>
      </c>
      <c r="I568">
        <v>7</v>
      </c>
      <c r="J568" t="s">
        <v>199</v>
      </c>
      <c r="L568">
        <v>0</v>
      </c>
      <c r="M568">
        <v>0</v>
      </c>
      <c r="U568">
        <v>1029</v>
      </c>
      <c r="V568">
        <v>931</v>
      </c>
      <c r="W568">
        <v>0</v>
      </c>
      <c r="X568">
        <v>0</v>
      </c>
      <c r="Y568">
        <v>36</v>
      </c>
      <c r="Z568">
        <v>36</v>
      </c>
      <c r="AA568">
        <v>0</v>
      </c>
      <c r="AB568">
        <v>0</v>
      </c>
      <c r="AC568">
        <v>20</v>
      </c>
      <c r="AD568">
        <v>12</v>
      </c>
      <c r="AG568" t="s">
        <v>224</v>
      </c>
      <c r="AH568" t="s">
        <v>435</v>
      </c>
      <c r="AI568">
        <v>467</v>
      </c>
      <c r="AJ568">
        <v>146</v>
      </c>
      <c r="AK568">
        <v>152</v>
      </c>
      <c r="AL568">
        <v>14</v>
      </c>
      <c r="AM568">
        <v>24</v>
      </c>
      <c r="AN568" t="s">
        <v>49</v>
      </c>
      <c r="AO568">
        <v>0.90476190476190477</v>
      </c>
      <c r="AP568">
        <v>253</v>
      </c>
    </row>
    <row r="569" spans="1:42" x14ac:dyDescent="0.35">
      <c r="A569">
        <v>97305</v>
      </c>
      <c r="B569">
        <v>8619</v>
      </c>
      <c r="C569">
        <v>950334</v>
      </c>
      <c r="D569">
        <v>388</v>
      </c>
      <c r="E569" s="147">
        <v>44207</v>
      </c>
      <c r="F569" t="s">
        <v>554</v>
      </c>
      <c r="G569" t="s">
        <v>222</v>
      </c>
      <c r="H569" s="147">
        <v>44208</v>
      </c>
      <c r="I569">
        <v>7</v>
      </c>
      <c r="J569" t="s">
        <v>199</v>
      </c>
      <c r="L569">
        <v>0</v>
      </c>
      <c r="M569">
        <v>0</v>
      </c>
      <c r="U569">
        <v>846</v>
      </c>
      <c r="V569">
        <v>772</v>
      </c>
      <c r="W569">
        <v>0</v>
      </c>
      <c r="X569">
        <v>0</v>
      </c>
      <c r="Y569">
        <v>44</v>
      </c>
      <c r="Z569">
        <v>33</v>
      </c>
      <c r="AA569">
        <v>0</v>
      </c>
      <c r="AB569">
        <v>0</v>
      </c>
      <c r="AC569">
        <v>15</v>
      </c>
      <c r="AD569">
        <v>15</v>
      </c>
      <c r="AG569" t="s">
        <v>224</v>
      </c>
      <c r="AH569" t="s">
        <v>435</v>
      </c>
      <c r="AI569">
        <v>369</v>
      </c>
      <c r="AJ569">
        <v>99</v>
      </c>
      <c r="AK569">
        <v>104</v>
      </c>
      <c r="AL569">
        <v>28</v>
      </c>
      <c r="AM569">
        <v>3</v>
      </c>
      <c r="AN569" t="s">
        <v>49</v>
      </c>
      <c r="AO569">
        <v>0.91252955082742315</v>
      </c>
      <c r="AP569">
        <v>187</v>
      </c>
    </row>
    <row r="570" spans="1:42" x14ac:dyDescent="0.35">
      <c r="A570">
        <v>97307</v>
      </c>
      <c r="B570">
        <v>8619</v>
      </c>
      <c r="C570">
        <v>950336</v>
      </c>
      <c r="D570">
        <v>330</v>
      </c>
      <c r="E570" s="147">
        <v>44207</v>
      </c>
      <c r="F570" t="s">
        <v>555</v>
      </c>
      <c r="G570" t="s">
        <v>307</v>
      </c>
      <c r="H570" s="147">
        <v>44209</v>
      </c>
      <c r="I570">
        <v>7</v>
      </c>
      <c r="J570" t="s">
        <v>200</v>
      </c>
      <c r="L570">
        <v>0</v>
      </c>
      <c r="M570">
        <v>0</v>
      </c>
      <c r="U570">
        <v>1054</v>
      </c>
      <c r="V570">
        <v>967</v>
      </c>
      <c r="W570">
        <v>0</v>
      </c>
      <c r="X570">
        <v>0</v>
      </c>
      <c r="Y570">
        <v>37</v>
      </c>
      <c r="Z570">
        <v>36</v>
      </c>
      <c r="AA570">
        <v>0</v>
      </c>
      <c r="AB570">
        <v>0</v>
      </c>
      <c r="AC570">
        <v>22</v>
      </c>
      <c r="AD570">
        <v>13</v>
      </c>
      <c r="AG570" t="s">
        <v>291</v>
      </c>
      <c r="AH570" t="s">
        <v>435</v>
      </c>
      <c r="AI570">
        <v>404</v>
      </c>
      <c r="AJ570">
        <v>128</v>
      </c>
      <c r="AK570">
        <v>137</v>
      </c>
      <c r="AL570">
        <v>13</v>
      </c>
      <c r="AM570">
        <v>15</v>
      </c>
      <c r="AN570" t="s">
        <v>49</v>
      </c>
      <c r="AO570">
        <v>0.91745730550284632</v>
      </c>
      <c r="AP570">
        <v>218</v>
      </c>
    </row>
    <row r="571" spans="1:42" x14ac:dyDescent="0.35">
      <c r="A571">
        <v>97309</v>
      </c>
      <c r="B571">
        <v>8619</v>
      </c>
      <c r="C571">
        <v>950338</v>
      </c>
      <c r="D571">
        <v>482</v>
      </c>
      <c r="E571" s="147">
        <v>44207</v>
      </c>
      <c r="F571" t="s">
        <v>549</v>
      </c>
      <c r="G571" t="s">
        <v>86</v>
      </c>
      <c r="H571" s="147">
        <v>44209</v>
      </c>
      <c r="I571">
        <v>7</v>
      </c>
      <c r="J571" t="s">
        <v>200</v>
      </c>
      <c r="L571">
        <v>0</v>
      </c>
      <c r="M571">
        <v>0</v>
      </c>
      <c r="U571">
        <v>532</v>
      </c>
      <c r="V571">
        <v>454</v>
      </c>
      <c r="W571">
        <v>0</v>
      </c>
      <c r="X571">
        <v>0</v>
      </c>
      <c r="Y571">
        <v>32</v>
      </c>
      <c r="Z571">
        <v>27</v>
      </c>
      <c r="AA571">
        <v>0</v>
      </c>
      <c r="AB571">
        <v>0</v>
      </c>
      <c r="AC571">
        <v>10</v>
      </c>
      <c r="AD571">
        <v>6</v>
      </c>
      <c r="AG571" t="s">
        <v>291</v>
      </c>
      <c r="AH571" t="s">
        <v>435</v>
      </c>
      <c r="AI571">
        <v>214</v>
      </c>
      <c r="AJ571">
        <v>45</v>
      </c>
      <c r="AK571">
        <v>74</v>
      </c>
      <c r="AL571">
        <v>13</v>
      </c>
      <c r="AM571">
        <v>4</v>
      </c>
      <c r="AN571" t="s">
        <v>49</v>
      </c>
      <c r="AO571">
        <v>0.85338345864661658</v>
      </c>
      <c r="AP571">
        <v>102</v>
      </c>
    </row>
    <row r="572" spans="1:42" x14ac:dyDescent="0.35">
      <c r="A572">
        <v>97310</v>
      </c>
      <c r="B572">
        <v>8619</v>
      </c>
      <c r="C572">
        <v>950339</v>
      </c>
      <c r="D572">
        <v>342</v>
      </c>
      <c r="E572" s="147">
        <v>44207</v>
      </c>
      <c r="F572" t="s">
        <v>583</v>
      </c>
      <c r="G572" t="s">
        <v>259</v>
      </c>
      <c r="H572" s="147">
        <v>44209</v>
      </c>
      <c r="I572">
        <v>7</v>
      </c>
      <c r="J572" t="s">
        <v>200</v>
      </c>
      <c r="L572">
        <v>0</v>
      </c>
      <c r="M572">
        <v>0</v>
      </c>
      <c r="U572">
        <v>1081</v>
      </c>
      <c r="V572">
        <v>918</v>
      </c>
      <c r="W572">
        <v>0</v>
      </c>
      <c r="X572">
        <v>0</v>
      </c>
      <c r="Y572">
        <v>45</v>
      </c>
      <c r="Z572">
        <v>45</v>
      </c>
      <c r="AA572">
        <v>0</v>
      </c>
      <c r="AB572">
        <v>0</v>
      </c>
      <c r="AC572">
        <v>10</v>
      </c>
      <c r="AD572">
        <v>3</v>
      </c>
      <c r="AG572" t="s">
        <v>291</v>
      </c>
      <c r="AH572" t="s">
        <v>435</v>
      </c>
      <c r="AI572">
        <v>366</v>
      </c>
      <c r="AJ572">
        <v>94</v>
      </c>
      <c r="AK572">
        <v>169</v>
      </c>
      <c r="AL572">
        <v>19</v>
      </c>
      <c r="AM572">
        <v>3</v>
      </c>
      <c r="AN572" t="s">
        <v>49</v>
      </c>
      <c r="AO572">
        <v>0.84921369102682698</v>
      </c>
      <c r="AP572">
        <v>155</v>
      </c>
    </row>
    <row r="573" spans="1:42" x14ac:dyDescent="0.35">
      <c r="A573">
        <v>97312</v>
      </c>
      <c r="B573">
        <v>8619</v>
      </c>
      <c r="C573">
        <v>950341</v>
      </c>
      <c r="D573">
        <v>310</v>
      </c>
      <c r="E573" s="147">
        <v>44207</v>
      </c>
      <c r="F573" t="s">
        <v>550</v>
      </c>
      <c r="G573" t="s">
        <v>432</v>
      </c>
      <c r="H573" s="147">
        <v>44209</v>
      </c>
      <c r="I573">
        <v>7</v>
      </c>
      <c r="J573" t="s">
        <v>200</v>
      </c>
      <c r="L573">
        <v>0</v>
      </c>
      <c r="M573">
        <v>0</v>
      </c>
      <c r="U573">
        <v>1665</v>
      </c>
      <c r="V573">
        <v>1301</v>
      </c>
      <c r="W573">
        <v>0</v>
      </c>
      <c r="X573">
        <v>0</v>
      </c>
      <c r="Y573">
        <v>197</v>
      </c>
      <c r="Z573">
        <v>182</v>
      </c>
      <c r="AA573">
        <v>0</v>
      </c>
      <c r="AB573">
        <v>0</v>
      </c>
      <c r="AC573">
        <v>28</v>
      </c>
      <c r="AD573">
        <v>12</v>
      </c>
      <c r="AG573" t="s">
        <v>291</v>
      </c>
      <c r="AH573" t="s">
        <v>435</v>
      </c>
      <c r="AI573">
        <v>614</v>
      </c>
      <c r="AJ573">
        <v>156</v>
      </c>
      <c r="AK573">
        <v>239</v>
      </c>
      <c r="AL573">
        <v>16</v>
      </c>
      <c r="AM573">
        <v>7</v>
      </c>
      <c r="AN573" t="s">
        <v>49</v>
      </c>
      <c r="AO573">
        <v>0.78138138138138136</v>
      </c>
      <c r="AP573">
        <v>205</v>
      </c>
    </row>
    <row r="574" spans="1:42" x14ac:dyDescent="0.35">
      <c r="A574">
        <v>97314</v>
      </c>
      <c r="B574">
        <v>8619</v>
      </c>
      <c r="C574">
        <v>950343</v>
      </c>
      <c r="D574">
        <v>399</v>
      </c>
      <c r="E574" s="147">
        <v>44207</v>
      </c>
      <c r="F574" t="s">
        <v>584</v>
      </c>
      <c r="G574" t="s">
        <v>116</v>
      </c>
      <c r="H574" s="147">
        <v>44209</v>
      </c>
      <c r="I574">
        <v>7</v>
      </c>
      <c r="J574" t="s">
        <v>200</v>
      </c>
      <c r="L574">
        <v>0</v>
      </c>
      <c r="M574">
        <v>0</v>
      </c>
      <c r="U574">
        <v>897</v>
      </c>
      <c r="V574">
        <v>815</v>
      </c>
      <c r="W574">
        <v>0</v>
      </c>
      <c r="X574">
        <v>0</v>
      </c>
      <c r="Y574">
        <v>83</v>
      </c>
      <c r="Z574">
        <v>47</v>
      </c>
      <c r="AA574">
        <v>0</v>
      </c>
      <c r="AB574">
        <v>0</v>
      </c>
      <c r="AC574">
        <v>15</v>
      </c>
      <c r="AD574">
        <v>8</v>
      </c>
      <c r="AG574" t="s">
        <v>291</v>
      </c>
      <c r="AH574" t="s">
        <v>435</v>
      </c>
      <c r="AI574">
        <v>388</v>
      </c>
      <c r="AJ574">
        <v>110</v>
      </c>
      <c r="AK574">
        <v>108</v>
      </c>
      <c r="AL574">
        <v>16</v>
      </c>
      <c r="AM574">
        <v>6</v>
      </c>
      <c r="AN574" t="s">
        <v>49</v>
      </c>
      <c r="AO574">
        <v>0.90858416945373466</v>
      </c>
      <c r="AP574">
        <v>192</v>
      </c>
    </row>
    <row r="575" spans="1:42" x14ac:dyDescent="0.35">
      <c r="A575">
        <v>97315</v>
      </c>
      <c r="B575">
        <v>8619</v>
      </c>
      <c r="C575">
        <v>950344</v>
      </c>
      <c r="D575">
        <v>360</v>
      </c>
      <c r="E575" s="147">
        <v>44207</v>
      </c>
      <c r="F575" t="s">
        <v>585</v>
      </c>
      <c r="G575" t="s">
        <v>120</v>
      </c>
      <c r="H575" s="147">
        <v>44209</v>
      </c>
      <c r="I575">
        <v>7</v>
      </c>
      <c r="J575" t="s">
        <v>200</v>
      </c>
      <c r="L575">
        <v>0</v>
      </c>
      <c r="M575">
        <v>0</v>
      </c>
      <c r="U575">
        <v>819</v>
      </c>
      <c r="V575">
        <v>766</v>
      </c>
      <c r="W575">
        <v>0</v>
      </c>
      <c r="X575">
        <v>0</v>
      </c>
      <c r="Y575">
        <v>21</v>
      </c>
      <c r="Z575">
        <v>21</v>
      </c>
      <c r="AA575">
        <v>0</v>
      </c>
      <c r="AB575">
        <v>0</v>
      </c>
      <c r="AC575">
        <v>3</v>
      </c>
      <c r="AD575">
        <v>2</v>
      </c>
      <c r="AG575" t="s">
        <v>291</v>
      </c>
      <c r="AH575" t="s">
        <v>435</v>
      </c>
      <c r="AI575">
        <v>351</v>
      </c>
      <c r="AJ575">
        <v>111</v>
      </c>
      <c r="AK575">
        <v>131</v>
      </c>
      <c r="AL575">
        <v>18</v>
      </c>
      <c r="AM575">
        <v>19</v>
      </c>
      <c r="AN575" t="s">
        <v>49</v>
      </c>
      <c r="AO575">
        <v>0.93528693528693529</v>
      </c>
      <c r="AP575">
        <v>204</v>
      </c>
    </row>
    <row r="576" spans="1:42" x14ac:dyDescent="0.35">
      <c r="A576">
        <v>97316</v>
      </c>
      <c r="B576">
        <v>8619</v>
      </c>
      <c r="C576">
        <v>950345</v>
      </c>
      <c r="D576">
        <v>431</v>
      </c>
      <c r="E576" s="147">
        <v>44207</v>
      </c>
      <c r="F576" t="s">
        <v>586</v>
      </c>
      <c r="G576" t="s">
        <v>151</v>
      </c>
      <c r="H576" s="147">
        <v>44209</v>
      </c>
      <c r="I576">
        <v>7</v>
      </c>
      <c r="J576" t="s">
        <v>200</v>
      </c>
      <c r="L576">
        <v>0</v>
      </c>
      <c r="M576">
        <v>0</v>
      </c>
      <c r="U576">
        <v>352</v>
      </c>
      <c r="V576">
        <v>322</v>
      </c>
      <c r="W576">
        <v>0</v>
      </c>
      <c r="X576">
        <v>0</v>
      </c>
      <c r="Y576">
        <v>20</v>
      </c>
      <c r="Z576">
        <v>20</v>
      </c>
      <c r="AA576">
        <v>0</v>
      </c>
      <c r="AB576">
        <v>0</v>
      </c>
      <c r="AC576">
        <v>6</v>
      </c>
      <c r="AD576">
        <v>3</v>
      </c>
      <c r="AG576" t="s">
        <v>291</v>
      </c>
      <c r="AH576" t="s">
        <v>435</v>
      </c>
      <c r="AI576">
        <v>132</v>
      </c>
      <c r="AJ576">
        <v>32</v>
      </c>
      <c r="AK576">
        <v>58</v>
      </c>
      <c r="AL576">
        <v>14</v>
      </c>
      <c r="AM576">
        <v>16</v>
      </c>
      <c r="AN576" t="s">
        <v>49</v>
      </c>
      <c r="AO576">
        <v>0.91477272727272729</v>
      </c>
      <c r="AP576">
        <v>65</v>
      </c>
    </row>
    <row r="577" spans="1:42" x14ac:dyDescent="0.35">
      <c r="A577">
        <v>97318</v>
      </c>
      <c r="B577">
        <v>8619</v>
      </c>
      <c r="C577">
        <v>950347</v>
      </c>
      <c r="D577">
        <v>481</v>
      </c>
      <c r="E577" s="147">
        <v>44207</v>
      </c>
      <c r="F577" t="s">
        <v>551</v>
      </c>
      <c r="G577" t="s">
        <v>164</v>
      </c>
      <c r="H577" s="147">
        <v>44209</v>
      </c>
      <c r="I577">
        <v>7</v>
      </c>
      <c r="J577" t="s">
        <v>200</v>
      </c>
      <c r="L577">
        <v>0</v>
      </c>
      <c r="M577">
        <v>0</v>
      </c>
      <c r="U577">
        <v>653</v>
      </c>
      <c r="V577">
        <v>579</v>
      </c>
      <c r="W577">
        <v>0</v>
      </c>
      <c r="X577">
        <v>0</v>
      </c>
      <c r="Y577">
        <v>34</v>
      </c>
      <c r="Z577">
        <v>26</v>
      </c>
      <c r="AA577">
        <v>0</v>
      </c>
      <c r="AB577">
        <v>0</v>
      </c>
      <c r="AC577">
        <v>6</v>
      </c>
      <c r="AD577">
        <v>5</v>
      </c>
      <c r="AG577" t="s">
        <v>291</v>
      </c>
      <c r="AH577" t="s">
        <v>435</v>
      </c>
      <c r="AI577">
        <v>265</v>
      </c>
      <c r="AJ577">
        <v>77</v>
      </c>
      <c r="AK577">
        <v>90</v>
      </c>
      <c r="AL577">
        <v>14</v>
      </c>
      <c r="AM577">
        <v>1</v>
      </c>
      <c r="AN577" t="s">
        <v>49</v>
      </c>
      <c r="AO577">
        <v>0.88667687595712097</v>
      </c>
      <c r="AP577">
        <v>139</v>
      </c>
    </row>
    <row r="578" spans="1:42" x14ac:dyDescent="0.35">
      <c r="A578">
        <v>97330</v>
      </c>
      <c r="B578">
        <v>8619</v>
      </c>
      <c r="C578">
        <v>950359</v>
      </c>
      <c r="D578">
        <v>374</v>
      </c>
      <c r="E578" s="147">
        <v>44207</v>
      </c>
      <c r="F578" t="s">
        <v>556</v>
      </c>
      <c r="G578" t="s">
        <v>109</v>
      </c>
      <c r="H578" s="147">
        <v>44209</v>
      </c>
      <c r="I578">
        <v>7</v>
      </c>
      <c r="J578" t="s">
        <v>200</v>
      </c>
      <c r="L578">
        <v>0</v>
      </c>
      <c r="M578">
        <v>0</v>
      </c>
      <c r="U578">
        <v>888</v>
      </c>
      <c r="V578">
        <v>854</v>
      </c>
      <c r="W578">
        <v>0</v>
      </c>
      <c r="X578">
        <v>0</v>
      </c>
      <c r="Y578">
        <v>59</v>
      </c>
      <c r="Z578">
        <v>59</v>
      </c>
      <c r="AA578">
        <v>0</v>
      </c>
      <c r="AB578">
        <v>0</v>
      </c>
      <c r="AC578">
        <v>5</v>
      </c>
      <c r="AD578">
        <v>1</v>
      </c>
      <c r="AG578" t="s">
        <v>1</v>
      </c>
      <c r="AH578" t="s">
        <v>435</v>
      </c>
      <c r="AI578">
        <v>343</v>
      </c>
      <c r="AJ578">
        <v>129</v>
      </c>
      <c r="AK578">
        <v>165</v>
      </c>
      <c r="AL578">
        <v>12</v>
      </c>
      <c r="AM578">
        <v>9</v>
      </c>
      <c r="AN578" t="s">
        <v>49</v>
      </c>
      <c r="AO578">
        <v>0.96171171171171166</v>
      </c>
      <c r="AP578">
        <v>190</v>
      </c>
    </row>
    <row r="579" spans="1:42" x14ac:dyDescent="0.35">
      <c r="A579">
        <v>97346</v>
      </c>
      <c r="B579">
        <v>8619</v>
      </c>
      <c r="C579">
        <v>950375</v>
      </c>
      <c r="D579">
        <v>516</v>
      </c>
      <c r="E579" s="147">
        <v>44207</v>
      </c>
      <c r="F579" t="s">
        <v>587</v>
      </c>
      <c r="G579" t="s">
        <v>139</v>
      </c>
      <c r="H579" s="147">
        <v>44209</v>
      </c>
      <c r="I579">
        <v>7</v>
      </c>
      <c r="J579" t="s">
        <v>200</v>
      </c>
      <c r="L579">
        <v>0</v>
      </c>
      <c r="M579">
        <v>0</v>
      </c>
      <c r="U579">
        <v>743</v>
      </c>
      <c r="V579">
        <v>611</v>
      </c>
      <c r="W579">
        <v>0</v>
      </c>
      <c r="X579">
        <v>0</v>
      </c>
      <c r="Y579">
        <v>19</v>
      </c>
      <c r="Z579">
        <v>19</v>
      </c>
      <c r="AA579">
        <v>0</v>
      </c>
      <c r="AB579">
        <v>0</v>
      </c>
      <c r="AC579">
        <v>6</v>
      </c>
      <c r="AD579">
        <v>2</v>
      </c>
      <c r="AG579" t="s">
        <v>226</v>
      </c>
      <c r="AH579" t="s">
        <v>435</v>
      </c>
      <c r="AI579">
        <v>284</v>
      </c>
      <c r="AJ579">
        <v>67</v>
      </c>
      <c r="AK579">
        <v>100</v>
      </c>
      <c r="AL579">
        <v>16</v>
      </c>
      <c r="AM579">
        <v>3</v>
      </c>
      <c r="AN579" t="s">
        <v>49</v>
      </c>
      <c r="AO579">
        <v>0.82234185733512788</v>
      </c>
      <c r="AP579">
        <v>128</v>
      </c>
    </row>
    <row r="580" spans="1:42" x14ac:dyDescent="0.35">
      <c r="A580">
        <v>97348</v>
      </c>
      <c r="B580">
        <v>8619</v>
      </c>
      <c r="C580">
        <v>950377</v>
      </c>
      <c r="D580">
        <v>408</v>
      </c>
      <c r="E580" s="147">
        <v>44207</v>
      </c>
      <c r="F580" t="s">
        <v>588</v>
      </c>
      <c r="G580" t="s">
        <v>148</v>
      </c>
      <c r="H580" s="147">
        <v>44209</v>
      </c>
      <c r="I580">
        <v>7</v>
      </c>
      <c r="J580" t="s">
        <v>200</v>
      </c>
      <c r="L580">
        <v>0</v>
      </c>
      <c r="M580">
        <v>0</v>
      </c>
      <c r="U580">
        <v>622</v>
      </c>
      <c r="V580">
        <v>564</v>
      </c>
      <c r="W580">
        <v>0</v>
      </c>
      <c r="X580">
        <v>0</v>
      </c>
      <c r="Y580">
        <v>23</v>
      </c>
      <c r="Z580">
        <v>20</v>
      </c>
      <c r="AA580">
        <v>0</v>
      </c>
      <c r="AB580">
        <v>0</v>
      </c>
      <c r="AC580">
        <v>18</v>
      </c>
      <c r="AD580">
        <v>11</v>
      </c>
      <c r="AG580" t="s">
        <v>226</v>
      </c>
      <c r="AH580" t="s">
        <v>435</v>
      </c>
      <c r="AI580">
        <v>238</v>
      </c>
      <c r="AJ580">
        <v>78</v>
      </c>
      <c r="AK580">
        <v>113</v>
      </c>
      <c r="AL580">
        <v>18</v>
      </c>
      <c r="AM580">
        <v>13</v>
      </c>
      <c r="AN580" t="s">
        <v>49</v>
      </c>
      <c r="AO580">
        <v>0.90675241157556274</v>
      </c>
      <c r="AP580">
        <v>134</v>
      </c>
    </row>
    <row r="581" spans="1:42" x14ac:dyDescent="0.35">
      <c r="A581">
        <v>97349</v>
      </c>
      <c r="B581">
        <v>8619</v>
      </c>
      <c r="C581">
        <v>950378</v>
      </c>
      <c r="D581">
        <v>393</v>
      </c>
      <c r="E581" s="147">
        <v>44207</v>
      </c>
      <c r="F581" t="s">
        <v>566</v>
      </c>
      <c r="G581" t="s">
        <v>153</v>
      </c>
      <c r="H581" s="147">
        <v>44209</v>
      </c>
      <c r="I581">
        <v>7</v>
      </c>
      <c r="J581" t="s">
        <v>200</v>
      </c>
      <c r="L581">
        <v>0</v>
      </c>
      <c r="M581">
        <v>0</v>
      </c>
      <c r="U581">
        <v>826</v>
      </c>
      <c r="V581">
        <v>663</v>
      </c>
      <c r="W581">
        <v>0</v>
      </c>
      <c r="X581">
        <v>0</v>
      </c>
      <c r="Y581">
        <v>30</v>
      </c>
      <c r="Z581">
        <v>27</v>
      </c>
      <c r="AA581">
        <v>0</v>
      </c>
      <c r="AB581">
        <v>0</v>
      </c>
      <c r="AC581">
        <v>14</v>
      </c>
      <c r="AD581">
        <v>10</v>
      </c>
      <c r="AG581" t="s">
        <v>226</v>
      </c>
      <c r="AH581" t="s">
        <v>435</v>
      </c>
      <c r="AI581">
        <v>364</v>
      </c>
      <c r="AJ581">
        <v>133</v>
      </c>
      <c r="AK581">
        <v>160</v>
      </c>
      <c r="AL581">
        <v>31</v>
      </c>
      <c r="AM581">
        <v>46</v>
      </c>
      <c r="AN581" t="s">
        <v>49</v>
      </c>
      <c r="AO581">
        <v>0.80266343825665865</v>
      </c>
      <c r="AP581">
        <v>210</v>
      </c>
    </row>
    <row r="582" spans="1:42" x14ac:dyDescent="0.35">
      <c r="A582">
        <v>97350</v>
      </c>
      <c r="B582">
        <v>8619</v>
      </c>
      <c r="C582">
        <v>950379</v>
      </c>
      <c r="D582">
        <v>478</v>
      </c>
      <c r="E582" s="147">
        <v>44207</v>
      </c>
      <c r="F582" t="s">
        <v>589</v>
      </c>
      <c r="G582" t="s">
        <v>155</v>
      </c>
      <c r="H582" s="147">
        <v>44209</v>
      </c>
      <c r="I582">
        <v>7</v>
      </c>
      <c r="J582" t="s">
        <v>200</v>
      </c>
      <c r="L582">
        <v>0</v>
      </c>
      <c r="M582">
        <v>0</v>
      </c>
      <c r="U582">
        <v>896</v>
      </c>
      <c r="V582">
        <v>792</v>
      </c>
      <c r="W582">
        <v>0</v>
      </c>
      <c r="X582">
        <v>0</v>
      </c>
      <c r="Y582">
        <v>30</v>
      </c>
      <c r="Z582">
        <v>28</v>
      </c>
      <c r="AA582">
        <v>0</v>
      </c>
      <c r="AB582">
        <v>0</v>
      </c>
      <c r="AC582">
        <v>23</v>
      </c>
      <c r="AD582">
        <v>11</v>
      </c>
      <c r="AG582" t="s">
        <v>226</v>
      </c>
      <c r="AH582" t="s">
        <v>435</v>
      </c>
      <c r="AI582">
        <v>280</v>
      </c>
      <c r="AJ582">
        <v>81</v>
      </c>
      <c r="AK582">
        <v>117</v>
      </c>
      <c r="AL582">
        <v>16</v>
      </c>
      <c r="AM582">
        <v>3</v>
      </c>
      <c r="AN582" t="s">
        <v>49</v>
      </c>
      <c r="AO582">
        <v>0.8839285714285714</v>
      </c>
      <c r="AP582">
        <v>131</v>
      </c>
    </row>
    <row r="583" spans="1:42" x14ac:dyDescent="0.35">
      <c r="A583">
        <v>97351</v>
      </c>
      <c r="B583">
        <v>8619</v>
      </c>
      <c r="C583">
        <v>950380</v>
      </c>
      <c r="D583">
        <v>441</v>
      </c>
      <c r="E583" s="147">
        <v>44207</v>
      </c>
      <c r="F583" t="s">
        <v>590</v>
      </c>
      <c r="G583" t="s">
        <v>158</v>
      </c>
      <c r="H583" s="147">
        <v>44209</v>
      </c>
      <c r="I583">
        <v>7</v>
      </c>
      <c r="J583" t="s">
        <v>200</v>
      </c>
      <c r="L583">
        <v>0</v>
      </c>
      <c r="M583">
        <v>0</v>
      </c>
      <c r="U583">
        <v>2423</v>
      </c>
      <c r="V583">
        <v>2211</v>
      </c>
      <c r="W583">
        <v>0</v>
      </c>
      <c r="X583">
        <v>0</v>
      </c>
      <c r="Y583">
        <v>161</v>
      </c>
      <c r="Z583">
        <v>161</v>
      </c>
      <c r="AA583">
        <v>0</v>
      </c>
      <c r="AB583">
        <v>0</v>
      </c>
      <c r="AC583">
        <v>12</v>
      </c>
      <c r="AD583">
        <v>12</v>
      </c>
      <c r="AG583" t="s">
        <v>226</v>
      </c>
      <c r="AH583" t="s">
        <v>435</v>
      </c>
      <c r="AI583">
        <v>1186</v>
      </c>
      <c r="AJ583">
        <v>421</v>
      </c>
      <c r="AK583">
        <v>365</v>
      </c>
      <c r="AL583">
        <v>49</v>
      </c>
      <c r="AM583">
        <v>12</v>
      </c>
      <c r="AN583" t="s">
        <v>49</v>
      </c>
      <c r="AO583">
        <v>0.91250515889393313</v>
      </c>
      <c r="AP583">
        <v>667</v>
      </c>
    </row>
    <row r="584" spans="1:42" x14ac:dyDescent="0.35">
      <c r="A584">
        <v>97352</v>
      </c>
      <c r="B584">
        <v>8619</v>
      </c>
      <c r="C584">
        <v>950381</v>
      </c>
      <c r="D584">
        <v>389</v>
      </c>
      <c r="E584" s="147">
        <v>44207</v>
      </c>
      <c r="F584" t="s">
        <v>563</v>
      </c>
      <c r="G584" t="s">
        <v>159</v>
      </c>
      <c r="H584" s="147">
        <v>44209</v>
      </c>
      <c r="I584">
        <v>7</v>
      </c>
      <c r="J584" t="s">
        <v>200</v>
      </c>
      <c r="L584">
        <v>0</v>
      </c>
      <c r="M584">
        <v>0</v>
      </c>
      <c r="U584">
        <v>1042</v>
      </c>
      <c r="V584">
        <v>953</v>
      </c>
      <c r="W584">
        <v>0</v>
      </c>
      <c r="X584">
        <v>0</v>
      </c>
      <c r="Y584">
        <v>59</v>
      </c>
      <c r="Z584">
        <v>57</v>
      </c>
      <c r="AA584">
        <v>0</v>
      </c>
      <c r="AB584">
        <v>0</v>
      </c>
      <c r="AC584">
        <v>27</v>
      </c>
      <c r="AD584">
        <v>20</v>
      </c>
      <c r="AG584" t="s">
        <v>226</v>
      </c>
      <c r="AH584" t="s">
        <v>435</v>
      </c>
      <c r="AI584">
        <v>400</v>
      </c>
      <c r="AJ584">
        <v>127</v>
      </c>
      <c r="AK584">
        <v>95</v>
      </c>
      <c r="AL584">
        <v>31</v>
      </c>
      <c r="AM584">
        <v>2</v>
      </c>
      <c r="AN584" t="s">
        <v>49</v>
      </c>
      <c r="AO584">
        <v>0.91458733205374276</v>
      </c>
      <c r="AP584">
        <v>211</v>
      </c>
    </row>
    <row r="585" spans="1:42" x14ac:dyDescent="0.35">
      <c r="A585">
        <v>97353</v>
      </c>
      <c r="B585">
        <v>8619</v>
      </c>
      <c r="C585">
        <v>950382</v>
      </c>
      <c r="D585">
        <v>453</v>
      </c>
      <c r="E585" s="147">
        <v>44207</v>
      </c>
      <c r="F585" t="s">
        <v>564</v>
      </c>
      <c r="G585" t="s">
        <v>225</v>
      </c>
      <c r="H585" s="147">
        <v>44209</v>
      </c>
      <c r="I585">
        <v>7</v>
      </c>
      <c r="J585" t="s">
        <v>200</v>
      </c>
      <c r="L585">
        <v>0</v>
      </c>
      <c r="M585">
        <v>0</v>
      </c>
      <c r="U585">
        <v>1304</v>
      </c>
      <c r="V585">
        <v>1137</v>
      </c>
      <c r="W585">
        <v>0</v>
      </c>
      <c r="X585">
        <v>0</v>
      </c>
      <c r="Y585">
        <v>71</v>
      </c>
      <c r="Z585">
        <v>48</v>
      </c>
      <c r="AA585">
        <v>0</v>
      </c>
      <c r="AB585">
        <v>0</v>
      </c>
      <c r="AC585">
        <v>25</v>
      </c>
      <c r="AD585">
        <v>16</v>
      </c>
      <c r="AG585" t="s">
        <v>226</v>
      </c>
      <c r="AH585" t="s">
        <v>435</v>
      </c>
      <c r="AI585">
        <v>456</v>
      </c>
      <c r="AJ585">
        <v>149</v>
      </c>
      <c r="AK585">
        <v>171</v>
      </c>
      <c r="AL585">
        <v>23</v>
      </c>
      <c r="AM585">
        <v>1</v>
      </c>
      <c r="AN585" t="s">
        <v>49</v>
      </c>
      <c r="AO585">
        <v>0.87193251533742333</v>
      </c>
      <c r="AP585">
        <v>222</v>
      </c>
    </row>
    <row r="586" spans="1:42" x14ac:dyDescent="0.35">
      <c r="A586">
        <v>97364</v>
      </c>
      <c r="B586">
        <v>8619</v>
      </c>
      <c r="C586">
        <v>950393</v>
      </c>
      <c r="D586">
        <v>418</v>
      </c>
      <c r="E586" s="147">
        <v>44207</v>
      </c>
      <c r="F586" t="s">
        <v>514</v>
      </c>
      <c r="G586" t="s">
        <v>84</v>
      </c>
      <c r="H586" s="147">
        <v>44209</v>
      </c>
      <c r="I586">
        <v>7</v>
      </c>
      <c r="J586" t="s">
        <v>200</v>
      </c>
      <c r="L586">
        <v>0</v>
      </c>
      <c r="M586">
        <v>0</v>
      </c>
      <c r="U586">
        <v>666</v>
      </c>
      <c r="V586">
        <v>562</v>
      </c>
      <c r="W586">
        <v>0</v>
      </c>
      <c r="X586">
        <v>0</v>
      </c>
      <c r="Y586">
        <v>25</v>
      </c>
      <c r="Z586">
        <v>24</v>
      </c>
      <c r="AA586">
        <v>0</v>
      </c>
      <c r="AB586">
        <v>0</v>
      </c>
      <c r="AC586">
        <v>3</v>
      </c>
      <c r="AD586">
        <v>1</v>
      </c>
      <c r="AG586" t="s">
        <v>258</v>
      </c>
      <c r="AH586" t="s">
        <v>435</v>
      </c>
      <c r="AI586">
        <v>233</v>
      </c>
      <c r="AJ586">
        <v>60</v>
      </c>
      <c r="AK586">
        <v>115</v>
      </c>
      <c r="AL586">
        <v>9</v>
      </c>
      <c r="AM586">
        <v>1</v>
      </c>
      <c r="AN586" t="s">
        <v>49</v>
      </c>
      <c r="AO586">
        <v>0.84384384384384381</v>
      </c>
      <c r="AP586">
        <v>115</v>
      </c>
    </row>
    <row r="587" spans="1:42" x14ac:dyDescent="0.35">
      <c r="A587">
        <v>97380</v>
      </c>
      <c r="B587">
        <v>8619</v>
      </c>
      <c r="C587">
        <v>950409</v>
      </c>
      <c r="D587">
        <v>331</v>
      </c>
      <c r="E587" s="147">
        <v>44207</v>
      </c>
      <c r="F587" t="s">
        <v>575</v>
      </c>
      <c r="G587" t="s">
        <v>173</v>
      </c>
      <c r="H587" s="147">
        <v>44209</v>
      </c>
      <c r="I587">
        <v>7</v>
      </c>
      <c r="J587" t="s">
        <v>200</v>
      </c>
      <c r="L587">
        <v>0</v>
      </c>
      <c r="M587">
        <v>0</v>
      </c>
      <c r="U587">
        <v>759</v>
      </c>
      <c r="V587">
        <v>688</v>
      </c>
      <c r="W587">
        <v>0</v>
      </c>
      <c r="X587">
        <v>0</v>
      </c>
      <c r="Y587">
        <v>26</v>
      </c>
      <c r="Z587">
        <v>21</v>
      </c>
      <c r="AA587">
        <v>0</v>
      </c>
      <c r="AB587">
        <v>0</v>
      </c>
      <c r="AC587">
        <v>2</v>
      </c>
      <c r="AD587">
        <v>2</v>
      </c>
      <c r="AG587" t="s">
        <v>258</v>
      </c>
      <c r="AH587" t="s">
        <v>435</v>
      </c>
      <c r="AI587">
        <v>340</v>
      </c>
      <c r="AJ587">
        <v>83</v>
      </c>
      <c r="AK587">
        <v>130</v>
      </c>
      <c r="AL587">
        <v>6</v>
      </c>
      <c r="AM587">
        <v>5</v>
      </c>
      <c r="AN587" t="s">
        <v>49</v>
      </c>
      <c r="AO587">
        <v>0.90645586297760206</v>
      </c>
      <c r="AP587">
        <v>168</v>
      </c>
    </row>
    <row r="588" spans="1:42" x14ac:dyDescent="0.35">
      <c r="A588">
        <v>97386</v>
      </c>
      <c r="B588">
        <v>8619</v>
      </c>
      <c r="C588">
        <v>950415</v>
      </c>
      <c r="D588">
        <v>513</v>
      </c>
      <c r="E588" s="147">
        <v>44207</v>
      </c>
      <c r="F588" t="s">
        <v>571</v>
      </c>
      <c r="G588" t="s">
        <v>89</v>
      </c>
      <c r="H588" s="147">
        <v>44209</v>
      </c>
      <c r="I588">
        <v>7</v>
      </c>
      <c r="J588" t="s">
        <v>200</v>
      </c>
      <c r="L588">
        <v>0</v>
      </c>
      <c r="M588">
        <v>0</v>
      </c>
      <c r="U588">
        <v>836</v>
      </c>
      <c r="V588">
        <v>750</v>
      </c>
      <c r="W588">
        <v>0</v>
      </c>
      <c r="X588">
        <v>0</v>
      </c>
      <c r="Y588">
        <v>52</v>
      </c>
      <c r="Z588">
        <v>49</v>
      </c>
      <c r="AA588">
        <v>0</v>
      </c>
      <c r="AB588">
        <v>0</v>
      </c>
      <c r="AC588">
        <v>8</v>
      </c>
      <c r="AD588">
        <v>6</v>
      </c>
      <c r="AG588" t="s">
        <v>255</v>
      </c>
      <c r="AH588" t="s">
        <v>435</v>
      </c>
      <c r="AI588">
        <v>371</v>
      </c>
      <c r="AJ588">
        <v>154</v>
      </c>
      <c r="AK588">
        <v>106</v>
      </c>
      <c r="AL588">
        <v>14</v>
      </c>
      <c r="AM588">
        <v>1</v>
      </c>
      <c r="AN588" t="s">
        <v>49</v>
      </c>
      <c r="AO588">
        <v>0.89712918660287078</v>
      </c>
      <c r="AP588">
        <v>241</v>
      </c>
    </row>
    <row r="589" spans="1:42" x14ac:dyDescent="0.35">
      <c r="A589">
        <v>97387</v>
      </c>
      <c r="B589">
        <v>8619</v>
      </c>
      <c r="C589">
        <v>950416</v>
      </c>
      <c r="D589">
        <v>510</v>
      </c>
      <c r="E589" s="147">
        <v>44207</v>
      </c>
      <c r="F589" t="s">
        <v>542</v>
      </c>
      <c r="G589" t="s">
        <v>107</v>
      </c>
      <c r="H589" s="147">
        <v>44209</v>
      </c>
      <c r="I589">
        <v>7</v>
      </c>
      <c r="J589" t="s">
        <v>200</v>
      </c>
      <c r="L589">
        <v>0</v>
      </c>
      <c r="M589">
        <v>0</v>
      </c>
      <c r="U589">
        <v>622</v>
      </c>
      <c r="V589">
        <v>551</v>
      </c>
      <c r="W589">
        <v>0</v>
      </c>
      <c r="X589">
        <v>0</v>
      </c>
      <c r="Y589">
        <v>36</v>
      </c>
      <c r="Z589">
        <v>34</v>
      </c>
      <c r="AA589">
        <v>0</v>
      </c>
      <c r="AB589">
        <v>0</v>
      </c>
      <c r="AC589">
        <v>28</v>
      </c>
      <c r="AD589">
        <v>14</v>
      </c>
      <c r="AG589" t="s">
        <v>255</v>
      </c>
      <c r="AH589" t="s">
        <v>435</v>
      </c>
      <c r="AI589">
        <v>364</v>
      </c>
      <c r="AJ589">
        <v>116</v>
      </c>
      <c r="AK589">
        <v>78</v>
      </c>
      <c r="AL589">
        <v>5</v>
      </c>
      <c r="AM589">
        <v>1</v>
      </c>
      <c r="AN589" t="s">
        <v>49</v>
      </c>
      <c r="AO589">
        <v>0.88585209003215437</v>
      </c>
      <c r="AP589">
        <v>194</v>
      </c>
    </row>
    <row r="590" spans="1:42" x14ac:dyDescent="0.35">
      <c r="A590">
        <v>97391</v>
      </c>
      <c r="B590">
        <v>8619</v>
      </c>
      <c r="C590">
        <v>950420</v>
      </c>
      <c r="D590">
        <v>476</v>
      </c>
      <c r="E590" s="147">
        <v>44207</v>
      </c>
      <c r="F590" t="s">
        <v>572</v>
      </c>
      <c r="G590" t="s">
        <v>127</v>
      </c>
      <c r="H590" s="147">
        <v>44209</v>
      </c>
      <c r="I590">
        <v>7</v>
      </c>
      <c r="J590" t="s">
        <v>200</v>
      </c>
      <c r="L590">
        <v>0</v>
      </c>
      <c r="M590">
        <v>0</v>
      </c>
      <c r="U590">
        <v>1067</v>
      </c>
      <c r="V590">
        <v>844</v>
      </c>
      <c r="W590">
        <v>0</v>
      </c>
      <c r="X590">
        <v>0</v>
      </c>
      <c r="Y590">
        <v>45</v>
      </c>
      <c r="Z590">
        <v>37</v>
      </c>
      <c r="AA590">
        <v>0</v>
      </c>
      <c r="AB590">
        <v>0</v>
      </c>
      <c r="AC590">
        <v>11</v>
      </c>
      <c r="AD590">
        <v>7</v>
      </c>
      <c r="AG590" t="s">
        <v>255</v>
      </c>
      <c r="AH590" t="s">
        <v>435</v>
      </c>
      <c r="AI590">
        <v>371</v>
      </c>
      <c r="AJ590">
        <v>114</v>
      </c>
      <c r="AK590">
        <v>179</v>
      </c>
      <c r="AL590">
        <v>21</v>
      </c>
      <c r="AM590">
        <v>2</v>
      </c>
      <c r="AN590" t="s">
        <v>49</v>
      </c>
      <c r="AO590">
        <v>0.79100281162136832</v>
      </c>
      <c r="AP590">
        <v>213</v>
      </c>
    </row>
    <row r="591" spans="1:42" x14ac:dyDescent="0.35">
      <c r="A591">
        <v>97399</v>
      </c>
      <c r="B591">
        <v>8619</v>
      </c>
      <c r="C591">
        <v>950428</v>
      </c>
      <c r="D591">
        <v>321</v>
      </c>
      <c r="E591" s="147">
        <v>44207</v>
      </c>
      <c r="F591" t="s">
        <v>591</v>
      </c>
      <c r="G591" t="s">
        <v>168</v>
      </c>
      <c r="H591" s="147">
        <v>44209</v>
      </c>
      <c r="I591">
        <v>7</v>
      </c>
      <c r="J591" t="s">
        <v>200</v>
      </c>
      <c r="L591">
        <v>0</v>
      </c>
      <c r="M591">
        <v>0</v>
      </c>
      <c r="U591">
        <v>657</v>
      </c>
      <c r="V591">
        <v>608</v>
      </c>
      <c r="W591">
        <v>0</v>
      </c>
      <c r="X591">
        <v>0</v>
      </c>
      <c r="Y591">
        <v>18</v>
      </c>
      <c r="Z591">
        <v>14</v>
      </c>
      <c r="AA591">
        <v>0</v>
      </c>
      <c r="AB591">
        <v>0</v>
      </c>
      <c r="AC591">
        <v>7</v>
      </c>
      <c r="AD591">
        <v>2</v>
      </c>
      <c r="AG591" t="s">
        <v>255</v>
      </c>
      <c r="AH591" t="s">
        <v>435</v>
      </c>
      <c r="AI591">
        <v>315</v>
      </c>
      <c r="AJ591">
        <v>117</v>
      </c>
      <c r="AK591">
        <v>80</v>
      </c>
      <c r="AL591">
        <v>8</v>
      </c>
      <c r="AM591">
        <v>3</v>
      </c>
      <c r="AN591" t="s">
        <v>49</v>
      </c>
      <c r="AO591">
        <v>0.92541856925418564</v>
      </c>
      <c r="AP591">
        <v>198</v>
      </c>
    </row>
    <row r="592" spans="1:42" x14ac:dyDescent="0.35">
      <c r="A592">
        <v>97401</v>
      </c>
      <c r="B592">
        <v>8619</v>
      </c>
      <c r="C592">
        <v>950430</v>
      </c>
      <c r="D592">
        <v>455</v>
      </c>
      <c r="E592" s="147">
        <v>44207</v>
      </c>
      <c r="F592" t="s">
        <v>544</v>
      </c>
      <c r="G592" t="s">
        <v>66</v>
      </c>
      <c r="H592" s="147">
        <v>44209</v>
      </c>
      <c r="I592">
        <v>7</v>
      </c>
      <c r="J592" t="s">
        <v>200</v>
      </c>
      <c r="L592">
        <v>0</v>
      </c>
      <c r="M592">
        <v>0</v>
      </c>
      <c r="U592">
        <v>474</v>
      </c>
      <c r="V592">
        <v>416</v>
      </c>
      <c r="W592">
        <v>0</v>
      </c>
      <c r="X592">
        <v>0</v>
      </c>
      <c r="Y592">
        <v>26</v>
      </c>
      <c r="Z592">
        <v>25</v>
      </c>
      <c r="AA592">
        <v>0</v>
      </c>
      <c r="AB592">
        <v>0</v>
      </c>
      <c r="AC592">
        <v>8</v>
      </c>
      <c r="AD592">
        <v>1</v>
      </c>
      <c r="AG592" t="s">
        <v>223</v>
      </c>
      <c r="AH592" t="s">
        <v>435</v>
      </c>
      <c r="AI592">
        <v>189</v>
      </c>
      <c r="AJ592">
        <v>61</v>
      </c>
      <c r="AK592">
        <v>87</v>
      </c>
      <c r="AL592">
        <v>13</v>
      </c>
      <c r="AM592">
        <v>4</v>
      </c>
      <c r="AN592" t="s">
        <v>49</v>
      </c>
      <c r="AO592">
        <v>0.87763713080168781</v>
      </c>
      <c r="AP592">
        <v>90</v>
      </c>
    </row>
    <row r="593" spans="1:42" x14ac:dyDescent="0.35">
      <c r="A593">
        <v>97406</v>
      </c>
      <c r="B593">
        <v>8619</v>
      </c>
      <c r="C593">
        <v>950435</v>
      </c>
      <c r="D593">
        <v>502</v>
      </c>
      <c r="E593" s="147">
        <v>44207</v>
      </c>
      <c r="F593" t="s">
        <v>592</v>
      </c>
      <c r="G593" t="s">
        <v>90</v>
      </c>
      <c r="H593" s="147">
        <v>44209</v>
      </c>
      <c r="I593">
        <v>7</v>
      </c>
      <c r="J593" t="s">
        <v>200</v>
      </c>
      <c r="L593">
        <v>0</v>
      </c>
      <c r="M593">
        <v>0</v>
      </c>
      <c r="U593">
        <v>763</v>
      </c>
      <c r="V593">
        <v>708</v>
      </c>
      <c r="W593">
        <v>0</v>
      </c>
      <c r="X593">
        <v>0</v>
      </c>
      <c r="Y593">
        <v>30</v>
      </c>
      <c r="Z593">
        <v>29</v>
      </c>
      <c r="AA593">
        <v>0</v>
      </c>
      <c r="AB593">
        <v>0</v>
      </c>
      <c r="AC593">
        <v>12</v>
      </c>
      <c r="AD593">
        <v>1</v>
      </c>
      <c r="AG593" t="s">
        <v>223</v>
      </c>
      <c r="AH593" t="s">
        <v>435</v>
      </c>
      <c r="AI593">
        <v>359</v>
      </c>
      <c r="AJ593">
        <v>133</v>
      </c>
      <c r="AK593">
        <v>101</v>
      </c>
      <c r="AL593">
        <v>14</v>
      </c>
      <c r="AM593">
        <v>16</v>
      </c>
      <c r="AN593" t="s">
        <v>49</v>
      </c>
      <c r="AO593">
        <v>0.92791612057667106</v>
      </c>
      <c r="AP593">
        <v>194</v>
      </c>
    </row>
    <row r="594" spans="1:42" x14ac:dyDescent="0.35">
      <c r="A594">
        <v>97411</v>
      </c>
      <c r="B594">
        <v>8619</v>
      </c>
      <c r="C594">
        <v>950440</v>
      </c>
      <c r="D594">
        <v>421</v>
      </c>
      <c r="E594" s="147">
        <v>44207</v>
      </c>
      <c r="F594" t="s">
        <v>593</v>
      </c>
      <c r="G594" t="s">
        <v>112</v>
      </c>
      <c r="H594" s="147">
        <v>44209</v>
      </c>
      <c r="I594">
        <v>7</v>
      </c>
      <c r="J594" t="s">
        <v>200</v>
      </c>
      <c r="L594">
        <v>0</v>
      </c>
      <c r="M594">
        <v>0</v>
      </c>
      <c r="U594">
        <v>475</v>
      </c>
      <c r="V594">
        <v>427</v>
      </c>
      <c r="W594">
        <v>0</v>
      </c>
      <c r="X594">
        <v>0</v>
      </c>
      <c r="Y594">
        <v>35</v>
      </c>
      <c r="Z594">
        <v>28</v>
      </c>
      <c r="AA594">
        <v>0</v>
      </c>
      <c r="AB594">
        <v>0</v>
      </c>
      <c r="AC594">
        <v>20</v>
      </c>
      <c r="AD594">
        <v>9</v>
      </c>
      <c r="AG594" t="s">
        <v>223</v>
      </c>
      <c r="AH594" t="s">
        <v>435</v>
      </c>
      <c r="AI594">
        <v>184</v>
      </c>
      <c r="AJ594">
        <v>43</v>
      </c>
      <c r="AK594">
        <v>149</v>
      </c>
      <c r="AL594">
        <v>27</v>
      </c>
      <c r="AM594">
        <v>17</v>
      </c>
      <c r="AN594" t="s">
        <v>49</v>
      </c>
      <c r="AO594">
        <v>0.89894736842105261</v>
      </c>
      <c r="AP594">
        <v>93</v>
      </c>
    </row>
    <row r="595" spans="1:42" x14ac:dyDescent="0.35">
      <c r="A595">
        <v>97413</v>
      </c>
      <c r="B595">
        <v>8619</v>
      </c>
      <c r="C595">
        <v>950442</v>
      </c>
      <c r="D595">
        <v>370</v>
      </c>
      <c r="E595" s="147">
        <v>44207</v>
      </c>
      <c r="F595" t="s">
        <v>561</v>
      </c>
      <c r="G595" t="s">
        <v>433</v>
      </c>
      <c r="H595" s="147">
        <v>44209</v>
      </c>
      <c r="I595">
        <v>7</v>
      </c>
      <c r="J595" t="s">
        <v>200</v>
      </c>
      <c r="L595">
        <v>0</v>
      </c>
      <c r="M595">
        <v>0</v>
      </c>
      <c r="U595">
        <v>959</v>
      </c>
      <c r="V595">
        <v>912</v>
      </c>
      <c r="W595">
        <v>0</v>
      </c>
      <c r="X595">
        <v>0</v>
      </c>
      <c r="Y595">
        <v>51</v>
      </c>
      <c r="Z595">
        <v>51</v>
      </c>
      <c r="AA595">
        <v>0</v>
      </c>
      <c r="AB595">
        <v>0</v>
      </c>
      <c r="AC595">
        <v>25</v>
      </c>
      <c r="AD595">
        <v>25</v>
      </c>
      <c r="AG595" t="s">
        <v>223</v>
      </c>
      <c r="AH595" t="s">
        <v>435</v>
      </c>
      <c r="AI595">
        <v>434</v>
      </c>
      <c r="AJ595">
        <v>124</v>
      </c>
      <c r="AK595">
        <v>128</v>
      </c>
      <c r="AL595">
        <v>28</v>
      </c>
      <c r="AM595">
        <v>12</v>
      </c>
      <c r="AN595" t="s">
        <v>49</v>
      </c>
      <c r="AO595">
        <v>0.95099061522419182</v>
      </c>
      <c r="AP595">
        <v>243</v>
      </c>
    </row>
    <row r="596" spans="1:42" x14ac:dyDescent="0.35">
      <c r="A596">
        <v>97418</v>
      </c>
      <c r="B596">
        <v>8619</v>
      </c>
      <c r="C596">
        <v>950447</v>
      </c>
      <c r="D596">
        <v>538</v>
      </c>
      <c r="E596" s="147">
        <v>44207</v>
      </c>
      <c r="F596" t="s">
        <v>560</v>
      </c>
      <c r="G596" t="s">
        <v>166</v>
      </c>
      <c r="H596" s="147">
        <v>44209</v>
      </c>
      <c r="I596">
        <v>7</v>
      </c>
      <c r="J596" t="s">
        <v>200</v>
      </c>
      <c r="L596">
        <v>0</v>
      </c>
      <c r="M596">
        <v>0</v>
      </c>
      <c r="U596">
        <v>853</v>
      </c>
      <c r="V596">
        <v>772</v>
      </c>
      <c r="W596">
        <v>0</v>
      </c>
      <c r="X596">
        <v>0</v>
      </c>
      <c r="Y596">
        <v>55</v>
      </c>
      <c r="Z596">
        <v>41</v>
      </c>
      <c r="AA596">
        <v>0</v>
      </c>
      <c r="AB596">
        <v>0</v>
      </c>
      <c r="AC596">
        <v>24</v>
      </c>
      <c r="AD596">
        <v>10</v>
      </c>
      <c r="AG596" t="s">
        <v>223</v>
      </c>
      <c r="AH596" t="s">
        <v>435</v>
      </c>
      <c r="AI596">
        <v>328</v>
      </c>
      <c r="AJ596">
        <v>91</v>
      </c>
      <c r="AK596">
        <v>128</v>
      </c>
      <c r="AL596">
        <v>7</v>
      </c>
      <c r="AM596">
        <v>1</v>
      </c>
      <c r="AN596" t="s">
        <v>49</v>
      </c>
      <c r="AO596">
        <v>0.90504103165298944</v>
      </c>
      <c r="AP596">
        <v>155</v>
      </c>
    </row>
    <row r="597" spans="1:42" x14ac:dyDescent="0.35">
      <c r="A597">
        <v>97420</v>
      </c>
      <c r="B597">
        <v>8619</v>
      </c>
      <c r="C597">
        <v>950449</v>
      </c>
      <c r="D597">
        <v>451</v>
      </c>
      <c r="E597" s="147">
        <v>44207</v>
      </c>
      <c r="F597" t="s">
        <v>594</v>
      </c>
      <c r="G597" t="s">
        <v>95</v>
      </c>
      <c r="H597" s="147">
        <v>44209</v>
      </c>
      <c r="I597">
        <v>7</v>
      </c>
      <c r="J597" t="s">
        <v>200</v>
      </c>
      <c r="L597">
        <v>0</v>
      </c>
      <c r="M597">
        <v>0</v>
      </c>
      <c r="U597">
        <v>782</v>
      </c>
      <c r="V597">
        <v>722</v>
      </c>
      <c r="W597">
        <v>0</v>
      </c>
      <c r="X597">
        <v>0</v>
      </c>
      <c r="Y597">
        <v>26</v>
      </c>
      <c r="Z597">
        <v>22</v>
      </c>
      <c r="AA597">
        <v>0</v>
      </c>
      <c r="AB597">
        <v>0</v>
      </c>
      <c r="AC597">
        <v>12</v>
      </c>
      <c r="AD597">
        <v>5</v>
      </c>
      <c r="AG597" t="s">
        <v>224</v>
      </c>
      <c r="AH597" t="s">
        <v>435</v>
      </c>
      <c r="AI597">
        <v>404</v>
      </c>
      <c r="AJ597">
        <v>141</v>
      </c>
      <c r="AK597">
        <v>108</v>
      </c>
      <c r="AL597">
        <v>12</v>
      </c>
      <c r="AM597">
        <v>21</v>
      </c>
      <c r="AN597" t="s">
        <v>49</v>
      </c>
      <c r="AO597">
        <v>0.92327365728900257</v>
      </c>
      <c r="AP597">
        <v>232</v>
      </c>
    </row>
    <row r="598" spans="1:42" x14ac:dyDescent="0.35">
      <c r="A598">
        <v>97421</v>
      </c>
      <c r="B598">
        <v>8619</v>
      </c>
      <c r="C598">
        <v>950450</v>
      </c>
      <c r="D598">
        <v>405</v>
      </c>
      <c r="E598" s="147">
        <v>44207</v>
      </c>
      <c r="F598" t="s">
        <v>557</v>
      </c>
      <c r="G598" t="s">
        <v>96</v>
      </c>
      <c r="H598" s="147">
        <v>44209</v>
      </c>
      <c r="I598">
        <v>7</v>
      </c>
      <c r="J598" t="s">
        <v>200</v>
      </c>
      <c r="L598">
        <v>0</v>
      </c>
      <c r="M598">
        <v>0</v>
      </c>
      <c r="U598">
        <v>550</v>
      </c>
      <c r="V598">
        <v>524</v>
      </c>
      <c r="W598">
        <v>0</v>
      </c>
      <c r="X598">
        <v>0</v>
      </c>
      <c r="Y598">
        <v>19</v>
      </c>
      <c r="Z598">
        <v>14</v>
      </c>
      <c r="AA598">
        <v>0</v>
      </c>
      <c r="AB598">
        <v>0</v>
      </c>
      <c r="AC598">
        <v>10</v>
      </c>
      <c r="AD598">
        <v>5</v>
      </c>
      <c r="AG598" t="s">
        <v>224</v>
      </c>
      <c r="AH598" t="s">
        <v>435</v>
      </c>
      <c r="AI598">
        <v>224</v>
      </c>
      <c r="AJ598">
        <v>63</v>
      </c>
      <c r="AK598">
        <v>63</v>
      </c>
      <c r="AL598">
        <v>14</v>
      </c>
      <c r="AM598">
        <v>15</v>
      </c>
      <c r="AN598" t="s">
        <v>49</v>
      </c>
      <c r="AO598">
        <v>0.95272727272727276</v>
      </c>
      <c r="AP598">
        <v>114</v>
      </c>
    </row>
    <row r="599" spans="1:42" x14ac:dyDescent="0.35">
      <c r="A599">
        <v>97424</v>
      </c>
      <c r="B599">
        <v>8619</v>
      </c>
      <c r="C599">
        <v>950453</v>
      </c>
      <c r="D599">
        <v>348</v>
      </c>
      <c r="E599" s="147">
        <v>44207</v>
      </c>
      <c r="F599" t="s">
        <v>558</v>
      </c>
      <c r="G599" t="s">
        <v>129</v>
      </c>
      <c r="H599" s="147">
        <v>44209</v>
      </c>
      <c r="I599">
        <v>7</v>
      </c>
      <c r="J599" t="s">
        <v>200</v>
      </c>
      <c r="L599">
        <v>0</v>
      </c>
      <c r="M599">
        <v>0</v>
      </c>
      <c r="U599">
        <v>575</v>
      </c>
      <c r="V599">
        <v>507</v>
      </c>
      <c r="W599">
        <v>0</v>
      </c>
      <c r="X599">
        <v>0</v>
      </c>
      <c r="Y599">
        <v>16</v>
      </c>
      <c r="Z599">
        <v>16</v>
      </c>
      <c r="AA599">
        <v>0</v>
      </c>
      <c r="AB599">
        <v>0</v>
      </c>
      <c r="AC599">
        <v>7</v>
      </c>
      <c r="AD599">
        <v>6</v>
      </c>
      <c r="AG599" t="s">
        <v>224</v>
      </c>
      <c r="AH599" t="s">
        <v>435</v>
      </c>
      <c r="AI599">
        <v>236</v>
      </c>
      <c r="AJ599">
        <v>74</v>
      </c>
      <c r="AK599">
        <v>90</v>
      </c>
      <c r="AL599">
        <v>9</v>
      </c>
      <c r="AM599">
        <v>7</v>
      </c>
      <c r="AN599" t="s">
        <v>49</v>
      </c>
      <c r="AO599">
        <v>0.88173913043478258</v>
      </c>
      <c r="AP599">
        <v>114</v>
      </c>
    </row>
    <row r="600" spans="1:42" x14ac:dyDescent="0.35">
      <c r="A600">
        <v>97426</v>
      </c>
      <c r="B600">
        <v>8619</v>
      </c>
      <c r="C600">
        <v>950455</v>
      </c>
      <c r="D600">
        <v>337</v>
      </c>
      <c r="E600" s="147">
        <v>44207</v>
      </c>
      <c r="F600" t="s">
        <v>595</v>
      </c>
      <c r="G600" t="s">
        <v>132</v>
      </c>
      <c r="H600" s="147">
        <v>44209</v>
      </c>
      <c r="I600">
        <v>7</v>
      </c>
      <c r="J600" t="s">
        <v>200</v>
      </c>
      <c r="L600">
        <v>0</v>
      </c>
      <c r="M600">
        <v>0</v>
      </c>
      <c r="U600">
        <v>529</v>
      </c>
      <c r="V600">
        <v>476</v>
      </c>
      <c r="W600">
        <v>0</v>
      </c>
      <c r="X600">
        <v>0</v>
      </c>
      <c r="Y600">
        <v>22</v>
      </c>
      <c r="Z600">
        <v>22</v>
      </c>
      <c r="AA600">
        <v>0</v>
      </c>
      <c r="AB600">
        <v>0</v>
      </c>
      <c r="AC600">
        <v>7</v>
      </c>
      <c r="AD600">
        <v>4</v>
      </c>
      <c r="AG600" t="s">
        <v>224</v>
      </c>
      <c r="AH600" t="s">
        <v>435</v>
      </c>
      <c r="AI600">
        <v>249</v>
      </c>
      <c r="AJ600">
        <v>79</v>
      </c>
      <c r="AK600">
        <v>71</v>
      </c>
      <c r="AL600">
        <v>5</v>
      </c>
      <c r="AM600">
        <v>1</v>
      </c>
      <c r="AN600" t="s">
        <v>49</v>
      </c>
      <c r="AO600">
        <v>0.89981096408317585</v>
      </c>
      <c r="AP600">
        <v>131</v>
      </c>
    </row>
    <row r="601" spans="1:42" x14ac:dyDescent="0.35">
      <c r="A601">
        <v>97431</v>
      </c>
      <c r="B601">
        <v>8619</v>
      </c>
      <c r="C601">
        <v>950460</v>
      </c>
      <c r="D601">
        <v>25513</v>
      </c>
      <c r="E601" s="147">
        <v>44207</v>
      </c>
      <c r="F601" t="s">
        <v>596</v>
      </c>
      <c r="G601" t="s">
        <v>437</v>
      </c>
      <c r="H601" s="147">
        <v>44209</v>
      </c>
      <c r="I601">
        <v>7</v>
      </c>
      <c r="J601" t="s">
        <v>200</v>
      </c>
      <c r="L601">
        <v>0</v>
      </c>
      <c r="M601">
        <v>0</v>
      </c>
      <c r="U601">
        <v>1025</v>
      </c>
      <c r="V601">
        <v>915</v>
      </c>
      <c r="W601">
        <v>0</v>
      </c>
      <c r="X601">
        <v>0</v>
      </c>
      <c r="Y601">
        <v>38</v>
      </c>
      <c r="Z601">
        <v>38</v>
      </c>
      <c r="AA601">
        <v>0</v>
      </c>
      <c r="AB601">
        <v>0</v>
      </c>
      <c r="AC601">
        <v>20</v>
      </c>
      <c r="AD601">
        <v>14</v>
      </c>
      <c r="AG601" t="s">
        <v>224</v>
      </c>
      <c r="AH601" t="s">
        <v>435</v>
      </c>
      <c r="AI601">
        <v>466</v>
      </c>
      <c r="AJ601">
        <v>147</v>
      </c>
      <c r="AK601">
        <v>134</v>
      </c>
      <c r="AL601">
        <v>9</v>
      </c>
      <c r="AM601">
        <v>12</v>
      </c>
      <c r="AN601" t="s">
        <v>49</v>
      </c>
      <c r="AO601">
        <v>0.89268292682926831</v>
      </c>
      <c r="AP601">
        <v>262</v>
      </c>
    </row>
    <row r="602" spans="1:42" x14ac:dyDescent="0.35">
      <c r="A602">
        <v>97432</v>
      </c>
      <c r="B602">
        <v>8619</v>
      </c>
      <c r="C602">
        <v>950461</v>
      </c>
      <c r="D602">
        <v>388</v>
      </c>
      <c r="E602" s="147">
        <v>44207</v>
      </c>
      <c r="F602" t="s">
        <v>554</v>
      </c>
      <c r="G602" t="s">
        <v>222</v>
      </c>
      <c r="H602" s="147">
        <v>44209</v>
      </c>
      <c r="I602">
        <v>7</v>
      </c>
      <c r="J602" t="s">
        <v>200</v>
      </c>
      <c r="L602">
        <v>0</v>
      </c>
      <c r="M602">
        <v>0</v>
      </c>
      <c r="U602">
        <v>839</v>
      </c>
      <c r="V602">
        <v>763</v>
      </c>
      <c r="W602">
        <v>0</v>
      </c>
      <c r="X602">
        <v>0</v>
      </c>
      <c r="Y602">
        <v>44</v>
      </c>
      <c r="Z602">
        <v>34</v>
      </c>
      <c r="AA602">
        <v>0</v>
      </c>
      <c r="AB602">
        <v>0</v>
      </c>
      <c r="AC602">
        <v>15</v>
      </c>
      <c r="AD602">
        <v>15</v>
      </c>
      <c r="AG602" t="s">
        <v>224</v>
      </c>
      <c r="AH602" t="s">
        <v>435</v>
      </c>
      <c r="AI602">
        <v>363</v>
      </c>
      <c r="AJ602">
        <v>96</v>
      </c>
      <c r="AK602">
        <v>106</v>
      </c>
      <c r="AL602">
        <v>25</v>
      </c>
      <c r="AM602">
        <v>6</v>
      </c>
      <c r="AN602" t="s">
        <v>49</v>
      </c>
      <c r="AO602">
        <v>0.90941597139451724</v>
      </c>
      <c r="AP602">
        <v>180</v>
      </c>
    </row>
    <row r="603" spans="1:42" x14ac:dyDescent="0.35">
      <c r="A603">
        <v>97434</v>
      </c>
      <c r="B603">
        <v>8619</v>
      </c>
      <c r="C603">
        <v>950463</v>
      </c>
      <c r="D603">
        <v>330</v>
      </c>
      <c r="E603" s="147">
        <v>44207</v>
      </c>
      <c r="F603" t="s">
        <v>555</v>
      </c>
      <c r="G603" t="s">
        <v>307</v>
      </c>
      <c r="H603" s="147">
        <v>44210</v>
      </c>
      <c r="I603">
        <v>7</v>
      </c>
      <c r="J603" t="s">
        <v>198</v>
      </c>
      <c r="L603">
        <v>0</v>
      </c>
      <c r="M603">
        <v>0</v>
      </c>
      <c r="U603">
        <v>1026</v>
      </c>
      <c r="V603">
        <v>915</v>
      </c>
      <c r="W603">
        <v>0</v>
      </c>
      <c r="X603">
        <v>0</v>
      </c>
      <c r="Y603">
        <v>37</v>
      </c>
      <c r="Z603">
        <v>27</v>
      </c>
      <c r="AA603">
        <v>0</v>
      </c>
      <c r="AB603">
        <v>0</v>
      </c>
      <c r="AC603">
        <v>22</v>
      </c>
      <c r="AD603">
        <v>12</v>
      </c>
      <c r="AG603" t="s">
        <v>291</v>
      </c>
      <c r="AH603" t="s">
        <v>435</v>
      </c>
      <c r="AI603">
        <v>402</v>
      </c>
      <c r="AJ603">
        <v>124</v>
      </c>
      <c r="AK603">
        <v>126</v>
      </c>
      <c r="AL603">
        <v>10</v>
      </c>
      <c r="AM603">
        <v>1</v>
      </c>
      <c r="AN603" t="s">
        <v>49</v>
      </c>
      <c r="AO603">
        <v>0.89181286549707606</v>
      </c>
      <c r="AP603">
        <v>200</v>
      </c>
    </row>
    <row r="604" spans="1:42" x14ac:dyDescent="0.35">
      <c r="A604">
        <v>97437</v>
      </c>
      <c r="B604">
        <v>8619</v>
      </c>
      <c r="C604">
        <v>950466</v>
      </c>
      <c r="D604">
        <v>342</v>
      </c>
      <c r="E604" s="147">
        <v>44207</v>
      </c>
      <c r="F604" t="s">
        <v>583</v>
      </c>
      <c r="G604" t="s">
        <v>259</v>
      </c>
      <c r="H604" s="147">
        <v>44210</v>
      </c>
      <c r="I604">
        <v>7</v>
      </c>
      <c r="J604" t="s">
        <v>198</v>
      </c>
      <c r="L604">
        <v>0</v>
      </c>
      <c r="M604">
        <v>0</v>
      </c>
      <c r="U604">
        <v>1075</v>
      </c>
      <c r="V604">
        <v>921</v>
      </c>
      <c r="W604">
        <v>0</v>
      </c>
      <c r="X604">
        <v>0</v>
      </c>
      <c r="Y604">
        <v>46</v>
      </c>
      <c r="Z604">
        <v>46</v>
      </c>
      <c r="AA604">
        <v>0</v>
      </c>
      <c r="AB604">
        <v>0</v>
      </c>
      <c r="AC604">
        <v>10</v>
      </c>
      <c r="AD604">
        <v>6</v>
      </c>
      <c r="AG604" t="s">
        <v>291</v>
      </c>
      <c r="AH604" t="s">
        <v>435</v>
      </c>
      <c r="AI604">
        <v>373</v>
      </c>
      <c r="AJ604">
        <v>88</v>
      </c>
      <c r="AK604">
        <v>157</v>
      </c>
      <c r="AL604">
        <v>32</v>
      </c>
      <c r="AM604">
        <v>6</v>
      </c>
      <c r="AN604" t="s">
        <v>49</v>
      </c>
      <c r="AO604">
        <v>0.85674418604651159</v>
      </c>
      <c r="AP604">
        <v>169</v>
      </c>
    </row>
    <row r="605" spans="1:42" x14ac:dyDescent="0.35">
      <c r="A605">
        <v>97439</v>
      </c>
      <c r="B605">
        <v>8619</v>
      </c>
      <c r="C605">
        <v>950468</v>
      </c>
      <c r="D605">
        <v>310</v>
      </c>
      <c r="E605" s="147">
        <v>44207</v>
      </c>
      <c r="F605" t="s">
        <v>550</v>
      </c>
      <c r="G605" t="s">
        <v>432</v>
      </c>
      <c r="H605" s="147">
        <v>44210</v>
      </c>
      <c r="I605">
        <v>7</v>
      </c>
      <c r="J605" t="s">
        <v>198</v>
      </c>
      <c r="L605">
        <v>0</v>
      </c>
      <c r="M605">
        <v>0</v>
      </c>
      <c r="U605">
        <v>1597</v>
      </c>
      <c r="V605">
        <v>1319</v>
      </c>
      <c r="W605">
        <v>0</v>
      </c>
      <c r="X605">
        <v>0</v>
      </c>
      <c r="Y605">
        <v>184</v>
      </c>
      <c r="Z605">
        <v>167</v>
      </c>
      <c r="AA605">
        <v>0</v>
      </c>
      <c r="AB605">
        <v>0</v>
      </c>
      <c r="AC605">
        <v>28</v>
      </c>
      <c r="AD605">
        <v>13</v>
      </c>
      <c r="AG605" t="s">
        <v>291</v>
      </c>
      <c r="AH605" t="s">
        <v>435</v>
      </c>
      <c r="AI605">
        <v>404</v>
      </c>
      <c r="AJ605">
        <v>105</v>
      </c>
      <c r="AK605">
        <v>223</v>
      </c>
      <c r="AL605">
        <v>11</v>
      </c>
      <c r="AM605">
        <v>3</v>
      </c>
      <c r="AN605" t="s">
        <v>49</v>
      </c>
      <c r="AO605">
        <v>0.82592360676268006</v>
      </c>
      <c r="AP605">
        <v>193</v>
      </c>
    </row>
    <row r="606" spans="1:42" x14ac:dyDescent="0.35">
      <c r="A606">
        <v>97441</v>
      </c>
      <c r="B606">
        <v>8619</v>
      </c>
      <c r="C606">
        <v>950470</v>
      </c>
      <c r="D606">
        <v>399</v>
      </c>
      <c r="E606" s="147">
        <v>44207</v>
      </c>
      <c r="F606" t="s">
        <v>584</v>
      </c>
      <c r="G606" t="s">
        <v>116</v>
      </c>
      <c r="H606" s="147">
        <v>44210</v>
      </c>
      <c r="I606">
        <v>7</v>
      </c>
      <c r="J606" t="s">
        <v>198</v>
      </c>
      <c r="L606">
        <v>0</v>
      </c>
      <c r="M606">
        <v>0</v>
      </c>
      <c r="U606">
        <v>881</v>
      </c>
      <c r="V606">
        <v>803</v>
      </c>
      <c r="W606">
        <v>0</v>
      </c>
      <c r="X606">
        <v>0</v>
      </c>
      <c r="Y606">
        <v>84</v>
      </c>
      <c r="Z606">
        <v>51</v>
      </c>
      <c r="AA606">
        <v>0</v>
      </c>
      <c r="AB606">
        <v>0</v>
      </c>
      <c r="AC606">
        <v>15</v>
      </c>
      <c r="AD606">
        <v>8</v>
      </c>
      <c r="AG606" t="s">
        <v>291</v>
      </c>
      <c r="AH606" t="s">
        <v>435</v>
      </c>
      <c r="AI606">
        <v>369</v>
      </c>
      <c r="AJ606">
        <v>103</v>
      </c>
      <c r="AK606">
        <v>129</v>
      </c>
      <c r="AL606">
        <v>26</v>
      </c>
      <c r="AM606">
        <v>21</v>
      </c>
      <c r="AN606" t="s">
        <v>49</v>
      </c>
      <c r="AO606">
        <v>0.91146424517593638</v>
      </c>
      <c r="AP606">
        <v>190</v>
      </c>
    </row>
    <row r="607" spans="1:42" x14ac:dyDescent="0.35">
      <c r="A607">
        <v>97442</v>
      </c>
      <c r="B607">
        <v>8619</v>
      </c>
      <c r="C607">
        <v>950471</v>
      </c>
      <c r="D607">
        <v>360</v>
      </c>
      <c r="E607" s="147">
        <v>44207</v>
      </c>
      <c r="F607" t="s">
        <v>585</v>
      </c>
      <c r="G607" t="s">
        <v>120</v>
      </c>
      <c r="H607" s="147">
        <v>44210</v>
      </c>
      <c r="I607">
        <v>7</v>
      </c>
      <c r="J607" t="s">
        <v>198</v>
      </c>
      <c r="L607">
        <v>0</v>
      </c>
      <c r="M607">
        <v>0</v>
      </c>
      <c r="U607">
        <v>835</v>
      </c>
      <c r="V607">
        <v>774</v>
      </c>
      <c r="W607">
        <v>0</v>
      </c>
      <c r="X607">
        <v>0</v>
      </c>
      <c r="Y607">
        <v>21</v>
      </c>
      <c r="Z607">
        <v>21</v>
      </c>
      <c r="AA607">
        <v>0</v>
      </c>
      <c r="AB607">
        <v>0</v>
      </c>
      <c r="AC607">
        <v>3</v>
      </c>
      <c r="AD607">
        <v>1</v>
      </c>
      <c r="AG607" t="s">
        <v>291</v>
      </c>
      <c r="AH607" t="s">
        <v>435</v>
      </c>
      <c r="AI607">
        <v>340</v>
      </c>
      <c r="AJ607">
        <v>103</v>
      </c>
      <c r="AK607">
        <v>116</v>
      </c>
      <c r="AL607">
        <v>14</v>
      </c>
      <c r="AM607">
        <v>9</v>
      </c>
      <c r="AN607" t="s">
        <v>49</v>
      </c>
      <c r="AO607">
        <v>0.92694610778443109</v>
      </c>
      <c r="AP607">
        <v>193</v>
      </c>
    </row>
    <row r="608" spans="1:42" x14ac:dyDescent="0.35">
      <c r="A608">
        <v>97443</v>
      </c>
      <c r="B608">
        <v>8619</v>
      </c>
      <c r="C608">
        <v>950472</v>
      </c>
      <c r="D608">
        <v>431</v>
      </c>
      <c r="E608" s="147">
        <v>44207</v>
      </c>
      <c r="F608" t="s">
        <v>586</v>
      </c>
      <c r="G608" t="s">
        <v>151</v>
      </c>
      <c r="H608" s="147">
        <v>44210</v>
      </c>
      <c r="I608">
        <v>7</v>
      </c>
      <c r="J608" t="s">
        <v>198</v>
      </c>
      <c r="L608">
        <v>0</v>
      </c>
      <c r="M608">
        <v>0</v>
      </c>
      <c r="U608">
        <v>366</v>
      </c>
      <c r="V608">
        <v>309</v>
      </c>
      <c r="W608">
        <v>0</v>
      </c>
      <c r="X608">
        <v>0</v>
      </c>
      <c r="Y608">
        <v>20</v>
      </c>
      <c r="Z608">
        <v>19</v>
      </c>
      <c r="AA608">
        <v>0</v>
      </c>
      <c r="AB608">
        <v>0</v>
      </c>
      <c r="AC608">
        <v>6</v>
      </c>
      <c r="AD608">
        <v>3</v>
      </c>
      <c r="AG608" t="s">
        <v>291</v>
      </c>
      <c r="AH608" t="s">
        <v>435</v>
      </c>
      <c r="AI608">
        <v>139</v>
      </c>
      <c r="AJ608">
        <v>34</v>
      </c>
      <c r="AK608">
        <v>61</v>
      </c>
      <c r="AL608">
        <v>23</v>
      </c>
      <c r="AM608">
        <v>20</v>
      </c>
      <c r="AN608" t="s">
        <v>49</v>
      </c>
      <c r="AO608">
        <v>0.84426229508196726</v>
      </c>
      <c r="AP608">
        <v>68</v>
      </c>
    </row>
    <row r="609" spans="1:42" x14ac:dyDescent="0.35">
      <c r="A609">
        <v>97445</v>
      </c>
      <c r="B609">
        <v>8619</v>
      </c>
      <c r="C609">
        <v>950474</v>
      </c>
      <c r="D609">
        <v>481</v>
      </c>
      <c r="E609" s="147">
        <v>44207</v>
      </c>
      <c r="F609" t="s">
        <v>551</v>
      </c>
      <c r="G609" t="s">
        <v>164</v>
      </c>
      <c r="H609" s="147">
        <v>44210</v>
      </c>
      <c r="I609">
        <v>7</v>
      </c>
      <c r="J609" t="s">
        <v>198</v>
      </c>
      <c r="L609">
        <v>0</v>
      </c>
      <c r="M609">
        <v>0</v>
      </c>
      <c r="U609">
        <v>630</v>
      </c>
      <c r="V609">
        <v>553</v>
      </c>
      <c r="W609">
        <v>0</v>
      </c>
      <c r="X609">
        <v>0</v>
      </c>
      <c r="Y609">
        <v>34</v>
      </c>
      <c r="Z609">
        <v>29</v>
      </c>
      <c r="AA609">
        <v>0</v>
      </c>
      <c r="AB609">
        <v>0</v>
      </c>
      <c r="AC609">
        <v>6</v>
      </c>
      <c r="AD609">
        <v>6</v>
      </c>
      <c r="AG609" t="s">
        <v>291</v>
      </c>
      <c r="AH609" t="s">
        <v>435</v>
      </c>
      <c r="AI609">
        <v>262</v>
      </c>
      <c r="AJ609">
        <v>78</v>
      </c>
      <c r="AK609">
        <v>79</v>
      </c>
      <c r="AL609">
        <v>19</v>
      </c>
      <c r="AM609">
        <v>8</v>
      </c>
      <c r="AN609" t="s">
        <v>49</v>
      </c>
      <c r="AO609">
        <v>0.87777777777777777</v>
      </c>
      <c r="AP609">
        <v>134</v>
      </c>
    </row>
    <row r="610" spans="1:42" x14ac:dyDescent="0.35">
      <c r="A610">
        <v>97446</v>
      </c>
      <c r="B610">
        <v>8619</v>
      </c>
      <c r="C610">
        <v>950475</v>
      </c>
      <c r="D610">
        <v>363</v>
      </c>
      <c r="E610" s="147">
        <v>44207</v>
      </c>
      <c r="F610" t="s">
        <v>546</v>
      </c>
      <c r="G610" t="s">
        <v>165</v>
      </c>
      <c r="H610" s="147">
        <v>44210</v>
      </c>
      <c r="I610">
        <v>7</v>
      </c>
      <c r="J610" t="s">
        <v>198</v>
      </c>
      <c r="L610">
        <v>0</v>
      </c>
      <c r="M610">
        <v>0</v>
      </c>
      <c r="U610">
        <v>449</v>
      </c>
      <c r="V610">
        <v>359</v>
      </c>
      <c r="W610">
        <v>0</v>
      </c>
      <c r="X610">
        <v>0</v>
      </c>
      <c r="Y610">
        <v>20</v>
      </c>
      <c r="Z610">
        <v>20</v>
      </c>
      <c r="AA610">
        <v>0</v>
      </c>
      <c r="AB610">
        <v>0</v>
      </c>
      <c r="AC610">
        <v>12</v>
      </c>
      <c r="AD610">
        <v>3</v>
      </c>
      <c r="AG610" t="s">
        <v>291</v>
      </c>
      <c r="AH610" t="s">
        <v>435</v>
      </c>
      <c r="AI610">
        <v>214</v>
      </c>
      <c r="AJ610">
        <v>84</v>
      </c>
      <c r="AK610">
        <v>62</v>
      </c>
      <c r="AL610">
        <v>9</v>
      </c>
      <c r="AM610">
        <v>1</v>
      </c>
      <c r="AN610" t="s">
        <v>49</v>
      </c>
      <c r="AO610">
        <v>0.79955456570155903</v>
      </c>
      <c r="AP610">
        <v>120</v>
      </c>
    </row>
    <row r="611" spans="1:42" x14ac:dyDescent="0.35">
      <c r="A611">
        <v>97447</v>
      </c>
      <c r="B611">
        <v>8619</v>
      </c>
      <c r="C611">
        <v>950476</v>
      </c>
      <c r="D611">
        <v>353</v>
      </c>
      <c r="E611" s="147">
        <v>44207</v>
      </c>
      <c r="F611" t="s">
        <v>548</v>
      </c>
      <c r="G611" t="s">
        <v>67</v>
      </c>
      <c r="H611" s="147">
        <v>44210</v>
      </c>
      <c r="I611">
        <v>7</v>
      </c>
      <c r="J611" t="s">
        <v>198</v>
      </c>
      <c r="L611">
        <v>0</v>
      </c>
      <c r="M611">
        <v>0</v>
      </c>
      <c r="U611">
        <v>925</v>
      </c>
      <c r="V611">
        <v>790</v>
      </c>
      <c r="W611">
        <v>0</v>
      </c>
      <c r="X611">
        <v>0</v>
      </c>
      <c r="Y611">
        <v>79</v>
      </c>
      <c r="Z611">
        <v>79</v>
      </c>
      <c r="AA611">
        <v>0</v>
      </c>
      <c r="AB611">
        <v>0</v>
      </c>
      <c r="AC611">
        <v>11</v>
      </c>
      <c r="AD611">
        <v>7</v>
      </c>
      <c r="AG611" t="s">
        <v>1</v>
      </c>
      <c r="AH611" t="s">
        <v>435</v>
      </c>
      <c r="AI611">
        <v>374</v>
      </c>
      <c r="AJ611">
        <v>86</v>
      </c>
      <c r="AK611">
        <v>155</v>
      </c>
      <c r="AL611">
        <v>21</v>
      </c>
      <c r="AM611">
        <v>6</v>
      </c>
      <c r="AN611" t="s">
        <v>49</v>
      </c>
      <c r="AO611">
        <v>0.8540540540540541</v>
      </c>
      <c r="AP611">
        <v>177</v>
      </c>
    </row>
    <row r="612" spans="1:42" x14ac:dyDescent="0.35">
      <c r="A612">
        <v>97457</v>
      </c>
      <c r="B612">
        <v>8619</v>
      </c>
      <c r="C612">
        <v>950486</v>
      </c>
      <c r="D612">
        <v>374</v>
      </c>
      <c r="E612" s="147">
        <v>44207</v>
      </c>
      <c r="F612" t="s">
        <v>556</v>
      </c>
      <c r="G612" t="s">
        <v>109</v>
      </c>
      <c r="H612" s="147">
        <v>44210</v>
      </c>
      <c r="I612">
        <v>7</v>
      </c>
      <c r="J612" t="s">
        <v>198</v>
      </c>
      <c r="L612">
        <v>0</v>
      </c>
      <c r="M612">
        <v>0</v>
      </c>
      <c r="U612">
        <v>885</v>
      </c>
      <c r="V612">
        <v>820</v>
      </c>
      <c r="W612">
        <v>0</v>
      </c>
      <c r="X612">
        <v>0</v>
      </c>
      <c r="Y612">
        <v>58</v>
      </c>
      <c r="Z612">
        <v>58</v>
      </c>
      <c r="AA612">
        <v>0</v>
      </c>
      <c r="AB612">
        <v>0</v>
      </c>
      <c r="AC612">
        <v>5</v>
      </c>
      <c r="AD612">
        <v>1</v>
      </c>
      <c r="AG612" t="s">
        <v>1</v>
      </c>
      <c r="AH612" t="s">
        <v>435</v>
      </c>
      <c r="AI612">
        <v>351</v>
      </c>
      <c r="AJ612">
        <v>131</v>
      </c>
      <c r="AK612">
        <v>135</v>
      </c>
      <c r="AL612">
        <v>10</v>
      </c>
      <c r="AM612">
        <v>4</v>
      </c>
      <c r="AN612" t="s">
        <v>49</v>
      </c>
      <c r="AO612">
        <v>0.92655367231638419</v>
      </c>
      <c r="AP612">
        <v>190</v>
      </c>
    </row>
    <row r="613" spans="1:42" x14ac:dyDescent="0.35">
      <c r="A613">
        <v>97460</v>
      </c>
      <c r="B613">
        <v>8619</v>
      </c>
      <c r="C613">
        <v>950489</v>
      </c>
      <c r="D613">
        <v>311</v>
      </c>
      <c r="E613" s="147">
        <v>44207</v>
      </c>
      <c r="F613" t="s">
        <v>582</v>
      </c>
      <c r="G613" t="s">
        <v>131</v>
      </c>
      <c r="H613" s="147">
        <v>44210</v>
      </c>
      <c r="I613">
        <v>7</v>
      </c>
      <c r="J613" t="s">
        <v>198</v>
      </c>
      <c r="L613">
        <v>0</v>
      </c>
      <c r="M613">
        <v>0</v>
      </c>
      <c r="U613">
        <v>944</v>
      </c>
      <c r="V613">
        <v>868</v>
      </c>
      <c r="W613">
        <v>0</v>
      </c>
      <c r="X613">
        <v>0</v>
      </c>
      <c r="Y613">
        <v>124</v>
      </c>
      <c r="Z613">
        <v>120</v>
      </c>
      <c r="AA613">
        <v>0</v>
      </c>
      <c r="AB613">
        <v>0</v>
      </c>
      <c r="AC613">
        <v>4</v>
      </c>
      <c r="AD613">
        <v>1</v>
      </c>
      <c r="AG613" t="s">
        <v>1</v>
      </c>
      <c r="AH613" t="s">
        <v>435</v>
      </c>
      <c r="AI613">
        <v>369</v>
      </c>
      <c r="AJ613">
        <v>107</v>
      </c>
      <c r="AK613">
        <v>158</v>
      </c>
      <c r="AL613">
        <v>5</v>
      </c>
      <c r="AM613">
        <v>1</v>
      </c>
      <c r="AN613" t="s">
        <v>49</v>
      </c>
      <c r="AO613">
        <v>0.91949152542372881</v>
      </c>
      <c r="AP613">
        <v>195</v>
      </c>
    </row>
    <row r="614" spans="1:42" x14ac:dyDescent="0.35">
      <c r="A614">
        <v>97466</v>
      </c>
      <c r="B614">
        <v>8619</v>
      </c>
      <c r="C614">
        <v>950495</v>
      </c>
      <c r="D614">
        <v>356</v>
      </c>
      <c r="E614" s="147">
        <v>44207</v>
      </c>
      <c r="F614" t="s">
        <v>517</v>
      </c>
      <c r="G614" t="s">
        <v>79</v>
      </c>
      <c r="H614" s="147">
        <v>44210</v>
      </c>
      <c r="I614">
        <v>7</v>
      </c>
      <c r="J614" t="s">
        <v>198</v>
      </c>
      <c r="L614">
        <v>0</v>
      </c>
      <c r="M614">
        <v>0</v>
      </c>
      <c r="U614">
        <v>511</v>
      </c>
      <c r="V614">
        <v>464</v>
      </c>
      <c r="W614">
        <v>0</v>
      </c>
      <c r="X614">
        <v>0</v>
      </c>
      <c r="Y614">
        <v>21</v>
      </c>
      <c r="Z614">
        <v>21</v>
      </c>
      <c r="AA614">
        <v>0</v>
      </c>
      <c r="AB614">
        <v>0</v>
      </c>
      <c r="AC614">
        <v>3</v>
      </c>
      <c r="AD614">
        <v>1</v>
      </c>
      <c r="AG614" t="s">
        <v>226</v>
      </c>
      <c r="AH614" t="s">
        <v>435</v>
      </c>
      <c r="AI614">
        <v>153</v>
      </c>
      <c r="AJ614">
        <v>32</v>
      </c>
      <c r="AK614">
        <v>63</v>
      </c>
      <c r="AL614">
        <v>12</v>
      </c>
      <c r="AM614">
        <v>1</v>
      </c>
      <c r="AN614" t="s">
        <v>49</v>
      </c>
      <c r="AO614">
        <v>0.90802348336594907</v>
      </c>
      <c r="AP614">
        <v>70</v>
      </c>
    </row>
    <row r="615" spans="1:42" x14ac:dyDescent="0.35">
      <c r="A615">
        <v>97471</v>
      </c>
      <c r="B615">
        <v>8619</v>
      </c>
      <c r="C615">
        <v>950500</v>
      </c>
      <c r="D615">
        <v>507</v>
      </c>
      <c r="E615" s="147">
        <v>44207</v>
      </c>
      <c r="F615" t="s">
        <v>565</v>
      </c>
      <c r="G615" t="s">
        <v>135</v>
      </c>
      <c r="H615" s="147">
        <v>44210</v>
      </c>
      <c r="I615">
        <v>7</v>
      </c>
      <c r="J615" t="s">
        <v>198</v>
      </c>
      <c r="L615">
        <v>0</v>
      </c>
      <c r="M615">
        <v>0</v>
      </c>
      <c r="U615">
        <v>726</v>
      </c>
      <c r="V615">
        <v>616</v>
      </c>
      <c r="W615">
        <v>0</v>
      </c>
      <c r="X615">
        <v>0</v>
      </c>
      <c r="Y615">
        <v>35</v>
      </c>
      <c r="Z615">
        <v>35</v>
      </c>
      <c r="AA615">
        <v>0</v>
      </c>
      <c r="AB615">
        <v>0</v>
      </c>
      <c r="AC615">
        <v>10</v>
      </c>
      <c r="AD615">
        <v>6</v>
      </c>
      <c r="AG615" t="s">
        <v>226</v>
      </c>
      <c r="AH615" t="s">
        <v>435</v>
      </c>
      <c r="AI615">
        <v>300</v>
      </c>
      <c r="AJ615">
        <v>64</v>
      </c>
      <c r="AK615">
        <v>142</v>
      </c>
      <c r="AL615">
        <v>11</v>
      </c>
      <c r="AM615">
        <v>4</v>
      </c>
      <c r="AN615" t="s">
        <v>49</v>
      </c>
      <c r="AO615">
        <v>0.84848484848484851</v>
      </c>
      <c r="AP615">
        <v>125</v>
      </c>
    </row>
    <row r="616" spans="1:42" x14ac:dyDescent="0.35">
      <c r="A616">
        <v>97473</v>
      </c>
      <c r="B616">
        <v>8619</v>
      </c>
      <c r="C616">
        <v>950502</v>
      </c>
      <c r="D616">
        <v>516</v>
      </c>
      <c r="E616" s="147">
        <v>44207</v>
      </c>
      <c r="F616" t="s">
        <v>587</v>
      </c>
      <c r="G616" t="s">
        <v>139</v>
      </c>
      <c r="H616" s="147">
        <v>44210</v>
      </c>
      <c r="I616">
        <v>7</v>
      </c>
      <c r="J616" t="s">
        <v>198</v>
      </c>
      <c r="L616">
        <v>0</v>
      </c>
      <c r="M616">
        <v>0</v>
      </c>
      <c r="U616">
        <v>731</v>
      </c>
      <c r="V616">
        <v>617</v>
      </c>
      <c r="W616">
        <v>0</v>
      </c>
      <c r="X616">
        <v>0</v>
      </c>
      <c r="Y616">
        <v>20</v>
      </c>
      <c r="Z616">
        <v>20</v>
      </c>
      <c r="AA616">
        <v>0</v>
      </c>
      <c r="AB616">
        <v>0</v>
      </c>
      <c r="AC616">
        <v>6</v>
      </c>
      <c r="AD616">
        <v>3</v>
      </c>
      <c r="AG616" t="s">
        <v>226</v>
      </c>
      <c r="AH616" t="s">
        <v>435</v>
      </c>
      <c r="AI616">
        <v>281</v>
      </c>
      <c r="AJ616">
        <v>71</v>
      </c>
      <c r="AK616">
        <v>113</v>
      </c>
      <c r="AL616">
        <v>29</v>
      </c>
      <c r="AM616">
        <v>17</v>
      </c>
      <c r="AN616" t="s">
        <v>49</v>
      </c>
      <c r="AO616">
        <v>0.84404924760601918</v>
      </c>
      <c r="AP616">
        <v>124</v>
      </c>
    </row>
    <row r="617" spans="1:42" x14ac:dyDescent="0.35">
      <c r="A617">
        <v>97475</v>
      </c>
      <c r="B617">
        <v>8619</v>
      </c>
      <c r="C617">
        <v>950504</v>
      </c>
      <c r="D617">
        <v>408</v>
      </c>
      <c r="E617" s="147">
        <v>44207</v>
      </c>
      <c r="F617" t="s">
        <v>588</v>
      </c>
      <c r="G617" t="s">
        <v>148</v>
      </c>
      <c r="H617" s="147">
        <v>44210</v>
      </c>
      <c r="I617">
        <v>7</v>
      </c>
      <c r="J617" t="s">
        <v>198</v>
      </c>
      <c r="L617">
        <v>0</v>
      </c>
      <c r="M617">
        <v>0</v>
      </c>
      <c r="U617">
        <v>622</v>
      </c>
      <c r="V617">
        <v>558</v>
      </c>
      <c r="W617">
        <v>0</v>
      </c>
      <c r="X617">
        <v>0</v>
      </c>
      <c r="Y617">
        <v>23</v>
      </c>
      <c r="Z617">
        <v>19</v>
      </c>
      <c r="AA617">
        <v>0</v>
      </c>
      <c r="AB617">
        <v>0</v>
      </c>
      <c r="AC617">
        <v>18</v>
      </c>
      <c r="AD617">
        <v>12</v>
      </c>
      <c r="AG617" t="s">
        <v>226</v>
      </c>
      <c r="AH617" t="s">
        <v>435</v>
      </c>
      <c r="AI617">
        <v>232</v>
      </c>
      <c r="AJ617">
        <v>73</v>
      </c>
      <c r="AK617">
        <v>90</v>
      </c>
      <c r="AL617">
        <v>7</v>
      </c>
      <c r="AM617">
        <v>1</v>
      </c>
      <c r="AN617" t="s">
        <v>49</v>
      </c>
      <c r="AO617">
        <v>0.89710610932475887</v>
      </c>
      <c r="AP617">
        <v>131</v>
      </c>
    </row>
    <row r="618" spans="1:42" x14ac:dyDescent="0.35">
      <c r="A618">
        <v>97476</v>
      </c>
      <c r="B618">
        <v>8619</v>
      </c>
      <c r="C618">
        <v>950505</v>
      </c>
      <c r="D618">
        <v>393</v>
      </c>
      <c r="E618" s="147">
        <v>44207</v>
      </c>
      <c r="F618" t="s">
        <v>566</v>
      </c>
      <c r="G618" t="s">
        <v>153</v>
      </c>
      <c r="H618" s="147">
        <v>44210</v>
      </c>
      <c r="I618">
        <v>7</v>
      </c>
      <c r="J618" t="s">
        <v>198</v>
      </c>
      <c r="L618">
        <v>0</v>
      </c>
      <c r="M618">
        <v>0</v>
      </c>
      <c r="U618">
        <v>826</v>
      </c>
      <c r="V618">
        <v>649</v>
      </c>
      <c r="W618">
        <v>0</v>
      </c>
      <c r="X618">
        <v>0</v>
      </c>
      <c r="Y618">
        <v>33</v>
      </c>
      <c r="Z618">
        <v>33</v>
      </c>
      <c r="AA618">
        <v>0</v>
      </c>
      <c r="AB618">
        <v>0</v>
      </c>
      <c r="AC618">
        <v>14</v>
      </c>
      <c r="AD618">
        <v>13</v>
      </c>
      <c r="AG618" t="s">
        <v>226</v>
      </c>
      <c r="AH618" t="s">
        <v>435</v>
      </c>
      <c r="AI618">
        <v>349</v>
      </c>
      <c r="AJ618">
        <v>126</v>
      </c>
      <c r="AK618">
        <v>139</v>
      </c>
      <c r="AL618">
        <v>16</v>
      </c>
      <c r="AM618">
        <v>6</v>
      </c>
      <c r="AN618" t="s">
        <v>49</v>
      </c>
      <c r="AO618">
        <v>0.7857142857142857</v>
      </c>
      <c r="AP618">
        <v>198</v>
      </c>
    </row>
    <row r="619" spans="1:42" x14ac:dyDescent="0.35">
      <c r="A619">
        <v>97477</v>
      </c>
      <c r="B619">
        <v>8619</v>
      </c>
      <c r="C619">
        <v>950506</v>
      </c>
      <c r="D619">
        <v>478</v>
      </c>
      <c r="E619" s="147">
        <v>44207</v>
      </c>
      <c r="F619" t="s">
        <v>589</v>
      </c>
      <c r="G619" t="s">
        <v>155</v>
      </c>
      <c r="H619" s="147">
        <v>44210</v>
      </c>
      <c r="I619">
        <v>7</v>
      </c>
      <c r="J619" t="s">
        <v>198</v>
      </c>
      <c r="L619">
        <v>0</v>
      </c>
      <c r="M619">
        <v>0</v>
      </c>
      <c r="U619">
        <v>843</v>
      </c>
      <c r="V619">
        <v>736</v>
      </c>
      <c r="W619">
        <v>0</v>
      </c>
      <c r="X619">
        <v>0</v>
      </c>
      <c r="Y619">
        <v>30</v>
      </c>
      <c r="Z619">
        <v>28</v>
      </c>
      <c r="AA619">
        <v>0</v>
      </c>
      <c r="AB619">
        <v>0</v>
      </c>
      <c r="AC619">
        <v>23</v>
      </c>
      <c r="AD619">
        <v>13</v>
      </c>
      <c r="AG619" t="s">
        <v>226</v>
      </c>
      <c r="AH619" t="s">
        <v>435</v>
      </c>
      <c r="AI619">
        <v>275</v>
      </c>
      <c r="AJ619">
        <v>80</v>
      </c>
      <c r="AK619">
        <v>148</v>
      </c>
      <c r="AL619">
        <v>17</v>
      </c>
      <c r="AM619">
        <v>6</v>
      </c>
      <c r="AN619" t="s">
        <v>49</v>
      </c>
      <c r="AO619">
        <v>0.87307236061684457</v>
      </c>
      <c r="AP619">
        <v>137</v>
      </c>
    </row>
    <row r="620" spans="1:42" x14ac:dyDescent="0.35">
      <c r="A620">
        <v>97478</v>
      </c>
      <c r="B620">
        <v>8619</v>
      </c>
      <c r="C620">
        <v>950507</v>
      </c>
      <c r="D620">
        <v>441</v>
      </c>
      <c r="E620" s="147">
        <v>44207</v>
      </c>
      <c r="F620" t="s">
        <v>590</v>
      </c>
      <c r="G620" t="s">
        <v>158</v>
      </c>
      <c r="H620" s="147">
        <v>44210</v>
      </c>
      <c r="I620">
        <v>7</v>
      </c>
      <c r="J620" t="s">
        <v>198</v>
      </c>
      <c r="L620">
        <v>0</v>
      </c>
      <c r="M620">
        <v>0</v>
      </c>
      <c r="U620">
        <v>2414</v>
      </c>
      <c r="V620">
        <v>2202</v>
      </c>
      <c r="W620">
        <v>0</v>
      </c>
      <c r="X620">
        <v>0</v>
      </c>
      <c r="Y620">
        <v>163</v>
      </c>
      <c r="Z620">
        <v>163</v>
      </c>
      <c r="AA620">
        <v>0</v>
      </c>
      <c r="AB620">
        <v>0</v>
      </c>
      <c r="AC620">
        <v>12</v>
      </c>
      <c r="AD620">
        <v>12</v>
      </c>
      <c r="AG620" t="s">
        <v>226</v>
      </c>
      <c r="AH620" t="s">
        <v>435</v>
      </c>
      <c r="AI620">
        <v>1173</v>
      </c>
      <c r="AJ620">
        <v>416</v>
      </c>
      <c r="AK620">
        <v>389</v>
      </c>
      <c r="AL620">
        <v>48</v>
      </c>
      <c r="AM620">
        <v>6</v>
      </c>
      <c r="AN620" t="s">
        <v>49</v>
      </c>
      <c r="AO620">
        <v>0.91217895608947808</v>
      </c>
      <c r="AP620">
        <v>662</v>
      </c>
    </row>
    <row r="621" spans="1:42" x14ac:dyDescent="0.35">
      <c r="A621">
        <v>97480</v>
      </c>
      <c r="B621">
        <v>8619</v>
      </c>
      <c r="C621">
        <v>950509</v>
      </c>
      <c r="D621">
        <v>453</v>
      </c>
      <c r="E621" s="147">
        <v>44207</v>
      </c>
      <c r="F621" t="s">
        <v>564</v>
      </c>
      <c r="G621" t="s">
        <v>225</v>
      </c>
      <c r="H621" s="147">
        <v>44210</v>
      </c>
      <c r="I621">
        <v>7</v>
      </c>
      <c r="J621" t="s">
        <v>198</v>
      </c>
      <c r="L621">
        <v>0</v>
      </c>
      <c r="M621">
        <v>0</v>
      </c>
      <c r="U621">
        <v>1301</v>
      </c>
      <c r="V621">
        <v>1115</v>
      </c>
      <c r="W621">
        <v>0</v>
      </c>
      <c r="X621">
        <v>0</v>
      </c>
      <c r="Y621">
        <v>83</v>
      </c>
      <c r="Z621">
        <v>59</v>
      </c>
      <c r="AA621">
        <v>0</v>
      </c>
      <c r="AB621">
        <v>0</v>
      </c>
      <c r="AC621">
        <v>25</v>
      </c>
      <c r="AD621">
        <v>17</v>
      </c>
      <c r="AG621" t="s">
        <v>226</v>
      </c>
      <c r="AH621" t="s">
        <v>435</v>
      </c>
      <c r="AI621">
        <v>468</v>
      </c>
      <c r="AJ621">
        <v>152</v>
      </c>
      <c r="AK621">
        <v>159</v>
      </c>
      <c r="AL621">
        <v>22</v>
      </c>
      <c r="AM621">
        <v>1</v>
      </c>
      <c r="AN621" t="s">
        <v>49</v>
      </c>
      <c r="AO621">
        <v>0.85703305149884701</v>
      </c>
      <c r="AP621">
        <v>232</v>
      </c>
    </row>
    <row r="622" spans="1:42" x14ac:dyDescent="0.35">
      <c r="A622">
        <v>97499</v>
      </c>
      <c r="B622">
        <v>8619</v>
      </c>
      <c r="C622">
        <v>950528</v>
      </c>
      <c r="D622">
        <v>382</v>
      </c>
      <c r="E622" s="147">
        <v>44207</v>
      </c>
      <c r="F622" t="s">
        <v>573</v>
      </c>
      <c r="G622" t="s">
        <v>123</v>
      </c>
      <c r="H622" s="147">
        <v>44210</v>
      </c>
      <c r="I622">
        <v>7</v>
      </c>
      <c r="J622" t="s">
        <v>198</v>
      </c>
      <c r="L622">
        <v>0</v>
      </c>
      <c r="M622">
        <v>0</v>
      </c>
      <c r="U622">
        <v>584</v>
      </c>
      <c r="V622">
        <v>508</v>
      </c>
      <c r="W622">
        <v>0</v>
      </c>
      <c r="X622">
        <v>0</v>
      </c>
      <c r="Y622">
        <v>15</v>
      </c>
      <c r="Z622">
        <v>11</v>
      </c>
      <c r="AA622">
        <v>0</v>
      </c>
      <c r="AB622">
        <v>0</v>
      </c>
      <c r="AC622">
        <v>22</v>
      </c>
      <c r="AD622">
        <v>9</v>
      </c>
      <c r="AG622" t="s">
        <v>258</v>
      </c>
      <c r="AH622" t="s">
        <v>435</v>
      </c>
      <c r="AI622">
        <v>210</v>
      </c>
      <c r="AJ622">
        <v>41</v>
      </c>
      <c r="AK622">
        <v>94</v>
      </c>
      <c r="AL622">
        <v>15</v>
      </c>
      <c r="AM622">
        <v>1</v>
      </c>
      <c r="AN622" t="s">
        <v>49</v>
      </c>
      <c r="AO622">
        <v>0.86986301369863017</v>
      </c>
      <c r="AP622">
        <v>85</v>
      </c>
    </row>
    <row r="623" spans="1:42" x14ac:dyDescent="0.35">
      <c r="A623">
        <v>97507</v>
      </c>
      <c r="B623">
        <v>8619</v>
      </c>
      <c r="C623">
        <v>950536</v>
      </c>
      <c r="D623">
        <v>331</v>
      </c>
      <c r="E623" s="147">
        <v>44207</v>
      </c>
      <c r="F623" t="s">
        <v>575</v>
      </c>
      <c r="G623" t="s">
        <v>173</v>
      </c>
      <c r="H623" s="147">
        <v>44210</v>
      </c>
      <c r="I623">
        <v>7</v>
      </c>
      <c r="J623" t="s">
        <v>198</v>
      </c>
      <c r="L623">
        <v>0</v>
      </c>
      <c r="M623">
        <v>0</v>
      </c>
      <c r="U623">
        <v>756</v>
      </c>
      <c r="V623">
        <v>681</v>
      </c>
      <c r="W623">
        <v>0</v>
      </c>
      <c r="X623">
        <v>0</v>
      </c>
      <c r="Y623">
        <v>25</v>
      </c>
      <c r="Z623">
        <v>20</v>
      </c>
      <c r="AA623">
        <v>0</v>
      </c>
      <c r="AB623">
        <v>0</v>
      </c>
      <c r="AC623">
        <v>2</v>
      </c>
      <c r="AD623">
        <v>2</v>
      </c>
      <c r="AG623" t="s">
        <v>258</v>
      </c>
      <c r="AH623" t="s">
        <v>435</v>
      </c>
      <c r="AI623">
        <v>328</v>
      </c>
      <c r="AJ623">
        <v>83</v>
      </c>
      <c r="AK623">
        <v>133</v>
      </c>
      <c r="AL623">
        <v>8</v>
      </c>
      <c r="AM623">
        <v>7</v>
      </c>
      <c r="AN623" t="s">
        <v>49</v>
      </c>
      <c r="AO623">
        <v>0.90079365079365081</v>
      </c>
      <c r="AP623">
        <v>159</v>
      </c>
    </row>
    <row r="624" spans="1:42" x14ac:dyDescent="0.35">
      <c r="A624">
        <v>97509</v>
      </c>
      <c r="B624">
        <v>8619</v>
      </c>
      <c r="C624">
        <v>950538</v>
      </c>
      <c r="D624">
        <v>508</v>
      </c>
      <c r="E624" s="147">
        <v>44207</v>
      </c>
      <c r="F624" t="s">
        <v>569</v>
      </c>
      <c r="G624" t="s">
        <v>71</v>
      </c>
      <c r="H624" s="147">
        <v>44210</v>
      </c>
      <c r="I624">
        <v>7</v>
      </c>
      <c r="J624" t="s">
        <v>198</v>
      </c>
      <c r="L624">
        <v>0</v>
      </c>
      <c r="M624">
        <v>0</v>
      </c>
      <c r="U624">
        <v>681</v>
      </c>
      <c r="V624">
        <v>629</v>
      </c>
      <c r="W624">
        <v>0</v>
      </c>
      <c r="X624">
        <v>0</v>
      </c>
      <c r="Y624">
        <v>48</v>
      </c>
      <c r="Z624">
        <v>28</v>
      </c>
      <c r="AA624">
        <v>0</v>
      </c>
      <c r="AB624">
        <v>0</v>
      </c>
      <c r="AC624">
        <v>4</v>
      </c>
      <c r="AD624">
        <v>3</v>
      </c>
      <c r="AG624" t="s">
        <v>255</v>
      </c>
      <c r="AH624" t="s">
        <v>435</v>
      </c>
      <c r="AI624">
        <v>326</v>
      </c>
      <c r="AJ624">
        <v>106</v>
      </c>
      <c r="AK624">
        <v>81</v>
      </c>
      <c r="AL624">
        <v>4</v>
      </c>
      <c r="AM624">
        <v>1</v>
      </c>
      <c r="AN624" t="s">
        <v>49</v>
      </c>
      <c r="AO624">
        <v>0.92364170337738616</v>
      </c>
      <c r="AP624">
        <v>164</v>
      </c>
    </row>
    <row r="625" spans="1:42" x14ac:dyDescent="0.35">
      <c r="A625">
        <v>97510</v>
      </c>
      <c r="B625">
        <v>8619</v>
      </c>
      <c r="C625">
        <v>950539</v>
      </c>
      <c r="D625">
        <v>402</v>
      </c>
      <c r="E625" s="147">
        <v>44207</v>
      </c>
      <c r="F625" t="s">
        <v>570</v>
      </c>
      <c r="G625" t="s">
        <v>72</v>
      </c>
      <c r="H625" s="147">
        <v>44210</v>
      </c>
      <c r="I625">
        <v>7</v>
      </c>
      <c r="J625" t="s">
        <v>198</v>
      </c>
      <c r="L625">
        <v>0</v>
      </c>
      <c r="M625">
        <v>0</v>
      </c>
      <c r="U625">
        <v>570</v>
      </c>
      <c r="V625">
        <v>483</v>
      </c>
      <c r="W625">
        <v>0</v>
      </c>
      <c r="X625">
        <v>0</v>
      </c>
      <c r="Y625">
        <v>19</v>
      </c>
      <c r="Z625">
        <v>16</v>
      </c>
      <c r="AA625">
        <v>0</v>
      </c>
      <c r="AB625">
        <v>0</v>
      </c>
      <c r="AC625">
        <v>38</v>
      </c>
      <c r="AD625">
        <v>25</v>
      </c>
      <c r="AG625" t="s">
        <v>255</v>
      </c>
      <c r="AH625" t="s">
        <v>435</v>
      </c>
      <c r="AI625">
        <v>225</v>
      </c>
      <c r="AJ625">
        <v>76</v>
      </c>
      <c r="AK625">
        <v>80</v>
      </c>
      <c r="AL625">
        <v>18</v>
      </c>
      <c r="AM625">
        <v>8</v>
      </c>
      <c r="AN625" t="s">
        <v>49</v>
      </c>
      <c r="AO625">
        <v>0.84736842105263155</v>
      </c>
      <c r="AP625">
        <v>117</v>
      </c>
    </row>
    <row r="626" spans="1:42" x14ac:dyDescent="0.35">
      <c r="A626">
        <v>97513</v>
      </c>
      <c r="B626">
        <v>8619</v>
      </c>
      <c r="C626">
        <v>950542</v>
      </c>
      <c r="D626">
        <v>513</v>
      </c>
      <c r="E626" s="147">
        <v>44207</v>
      </c>
      <c r="F626" t="s">
        <v>571</v>
      </c>
      <c r="G626" t="s">
        <v>89</v>
      </c>
      <c r="H626" s="147">
        <v>44210</v>
      </c>
      <c r="I626">
        <v>7</v>
      </c>
      <c r="J626" t="s">
        <v>198</v>
      </c>
      <c r="L626">
        <v>0</v>
      </c>
      <c r="M626">
        <v>0</v>
      </c>
      <c r="U626">
        <v>835</v>
      </c>
      <c r="V626">
        <v>736</v>
      </c>
      <c r="W626">
        <v>0</v>
      </c>
      <c r="X626">
        <v>0</v>
      </c>
      <c r="Y626">
        <v>52</v>
      </c>
      <c r="Z626">
        <v>51</v>
      </c>
      <c r="AA626">
        <v>0</v>
      </c>
      <c r="AB626">
        <v>0</v>
      </c>
      <c r="AC626">
        <v>8</v>
      </c>
      <c r="AD626">
        <v>6</v>
      </c>
      <c r="AG626" t="s">
        <v>255</v>
      </c>
      <c r="AH626" t="s">
        <v>435</v>
      </c>
      <c r="AI626">
        <v>370</v>
      </c>
      <c r="AJ626">
        <v>164</v>
      </c>
      <c r="AK626">
        <v>132</v>
      </c>
      <c r="AL626">
        <v>18</v>
      </c>
      <c r="AM626">
        <v>2</v>
      </c>
      <c r="AN626" t="s">
        <v>49</v>
      </c>
      <c r="AO626">
        <v>0.88143712574850297</v>
      </c>
      <c r="AP626">
        <v>247</v>
      </c>
    </row>
    <row r="627" spans="1:42" x14ac:dyDescent="0.35">
      <c r="A627">
        <v>97518</v>
      </c>
      <c r="B627">
        <v>8619</v>
      </c>
      <c r="C627">
        <v>950547</v>
      </c>
      <c r="D627">
        <v>476</v>
      </c>
      <c r="E627" s="147">
        <v>44207</v>
      </c>
      <c r="F627" t="s">
        <v>572</v>
      </c>
      <c r="G627" t="s">
        <v>127</v>
      </c>
      <c r="H627" s="147">
        <v>44210</v>
      </c>
      <c r="I627">
        <v>7</v>
      </c>
      <c r="J627" t="s">
        <v>198</v>
      </c>
      <c r="L627">
        <v>0</v>
      </c>
      <c r="M627">
        <v>0</v>
      </c>
      <c r="U627">
        <v>1050</v>
      </c>
      <c r="V627">
        <v>834</v>
      </c>
      <c r="W627">
        <v>0</v>
      </c>
      <c r="X627">
        <v>0</v>
      </c>
      <c r="Y627">
        <v>45</v>
      </c>
      <c r="Z627">
        <v>38</v>
      </c>
      <c r="AA627">
        <v>0</v>
      </c>
      <c r="AB627">
        <v>0</v>
      </c>
      <c r="AC627">
        <v>11</v>
      </c>
      <c r="AD627">
        <v>6</v>
      </c>
      <c r="AG627" t="s">
        <v>255</v>
      </c>
      <c r="AH627" t="s">
        <v>435</v>
      </c>
      <c r="AI627">
        <v>340</v>
      </c>
      <c r="AJ627">
        <v>113</v>
      </c>
      <c r="AK627">
        <v>176</v>
      </c>
      <c r="AL627">
        <v>20</v>
      </c>
      <c r="AM627">
        <v>1</v>
      </c>
      <c r="AN627" t="s">
        <v>49</v>
      </c>
      <c r="AO627">
        <v>0.79428571428571426</v>
      </c>
      <c r="AP627">
        <v>201</v>
      </c>
    </row>
    <row r="628" spans="1:42" x14ac:dyDescent="0.35">
      <c r="A628">
        <v>97523</v>
      </c>
      <c r="B628">
        <v>8619</v>
      </c>
      <c r="C628">
        <v>950552</v>
      </c>
      <c r="D628">
        <v>403</v>
      </c>
      <c r="E628" s="147">
        <v>44207</v>
      </c>
      <c r="F628" t="s">
        <v>536</v>
      </c>
      <c r="G628" t="s">
        <v>147</v>
      </c>
      <c r="H628" s="147">
        <v>44210</v>
      </c>
      <c r="I628">
        <v>7</v>
      </c>
      <c r="J628" t="s">
        <v>198</v>
      </c>
      <c r="L628">
        <v>0</v>
      </c>
      <c r="M628">
        <v>0</v>
      </c>
      <c r="U628">
        <v>385</v>
      </c>
      <c r="V628">
        <v>315</v>
      </c>
      <c r="W628">
        <v>0</v>
      </c>
      <c r="X628">
        <v>0</v>
      </c>
      <c r="Y628">
        <v>23</v>
      </c>
      <c r="Z628">
        <v>13</v>
      </c>
      <c r="AA628">
        <v>0</v>
      </c>
      <c r="AB628">
        <v>0</v>
      </c>
      <c r="AC628">
        <v>1</v>
      </c>
      <c r="AD628">
        <v>1</v>
      </c>
      <c r="AG628" t="s">
        <v>255</v>
      </c>
      <c r="AH628" t="s">
        <v>435</v>
      </c>
      <c r="AI628">
        <v>158</v>
      </c>
      <c r="AJ628">
        <v>53</v>
      </c>
      <c r="AK628">
        <v>67</v>
      </c>
      <c r="AL628">
        <v>7</v>
      </c>
      <c r="AM628">
        <v>2</v>
      </c>
      <c r="AN628" t="s">
        <v>49</v>
      </c>
      <c r="AO628">
        <v>0.81818181818181823</v>
      </c>
      <c r="AP628">
        <v>85</v>
      </c>
    </row>
    <row r="629" spans="1:42" x14ac:dyDescent="0.35">
      <c r="A629">
        <v>97526</v>
      </c>
      <c r="B629">
        <v>8619</v>
      </c>
      <c r="C629">
        <v>950555</v>
      </c>
      <c r="D629">
        <v>321</v>
      </c>
      <c r="E629" s="147">
        <v>44207</v>
      </c>
      <c r="F629" t="s">
        <v>591</v>
      </c>
      <c r="G629" t="s">
        <v>168</v>
      </c>
      <c r="H629" s="147">
        <v>44210</v>
      </c>
      <c r="I629">
        <v>7</v>
      </c>
      <c r="J629" t="s">
        <v>198</v>
      </c>
      <c r="L629">
        <v>0</v>
      </c>
      <c r="M629">
        <v>0</v>
      </c>
      <c r="U629">
        <v>676</v>
      </c>
      <c r="V629">
        <v>626</v>
      </c>
      <c r="W629">
        <v>0</v>
      </c>
      <c r="X629">
        <v>0</v>
      </c>
      <c r="Y629">
        <v>18</v>
      </c>
      <c r="Z629">
        <v>13</v>
      </c>
      <c r="AA629">
        <v>0</v>
      </c>
      <c r="AB629">
        <v>0</v>
      </c>
      <c r="AC629">
        <v>7</v>
      </c>
      <c r="AD629">
        <v>2</v>
      </c>
      <c r="AG629" t="s">
        <v>255</v>
      </c>
      <c r="AH629" t="s">
        <v>435</v>
      </c>
      <c r="AI629">
        <v>310</v>
      </c>
      <c r="AJ629">
        <v>114</v>
      </c>
      <c r="AK629">
        <v>89</v>
      </c>
      <c r="AL629">
        <v>13</v>
      </c>
      <c r="AM629">
        <v>12</v>
      </c>
      <c r="AN629" t="s">
        <v>49</v>
      </c>
      <c r="AO629">
        <v>0.92603550295857984</v>
      </c>
      <c r="AP629">
        <v>185</v>
      </c>
    </row>
    <row r="630" spans="1:42" x14ac:dyDescent="0.35">
      <c r="A630">
        <v>97528</v>
      </c>
      <c r="B630">
        <v>8619</v>
      </c>
      <c r="C630">
        <v>950557</v>
      </c>
      <c r="D630">
        <v>455</v>
      </c>
      <c r="E630" s="147">
        <v>44207</v>
      </c>
      <c r="F630" t="s">
        <v>544</v>
      </c>
      <c r="G630" t="s">
        <v>66</v>
      </c>
      <c r="H630" s="147">
        <v>44210</v>
      </c>
      <c r="I630">
        <v>7</v>
      </c>
      <c r="J630" t="s">
        <v>198</v>
      </c>
      <c r="L630">
        <v>0</v>
      </c>
      <c r="M630">
        <v>0</v>
      </c>
      <c r="U630">
        <v>485</v>
      </c>
      <c r="V630">
        <v>419</v>
      </c>
      <c r="W630">
        <v>0</v>
      </c>
      <c r="X630">
        <v>0</v>
      </c>
      <c r="Y630">
        <v>28</v>
      </c>
      <c r="Z630">
        <v>28</v>
      </c>
      <c r="AA630">
        <v>0</v>
      </c>
      <c r="AB630">
        <v>0</v>
      </c>
      <c r="AC630">
        <v>8</v>
      </c>
      <c r="AD630">
        <v>1</v>
      </c>
      <c r="AG630" t="s">
        <v>223</v>
      </c>
      <c r="AH630" t="s">
        <v>435</v>
      </c>
      <c r="AI630">
        <v>182</v>
      </c>
      <c r="AJ630">
        <v>60</v>
      </c>
      <c r="AK630">
        <v>71</v>
      </c>
      <c r="AL630">
        <v>2</v>
      </c>
      <c r="AM630">
        <v>1</v>
      </c>
      <c r="AN630" t="s">
        <v>49</v>
      </c>
      <c r="AO630">
        <v>0.86391752577319592</v>
      </c>
      <c r="AP630">
        <v>83</v>
      </c>
    </row>
    <row r="631" spans="1:42" x14ac:dyDescent="0.35">
      <c r="A631">
        <v>97530</v>
      </c>
      <c r="B631">
        <v>8619</v>
      </c>
      <c r="C631">
        <v>950559</v>
      </c>
      <c r="D631">
        <v>512</v>
      </c>
      <c r="E631" s="147">
        <v>44207</v>
      </c>
      <c r="F631" t="s">
        <v>523</v>
      </c>
      <c r="G631" t="s">
        <v>75</v>
      </c>
      <c r="H631" s="147">
        <v>44210</v>
      </c>
      <c r="I631">
        <v>7</v>
      </c>
      <c r="J631" t="s">
        <v>198</v>
      </c>
      <c r="L631">
        <v>0</v>
      </c>
      <c r="M631">
        <v>0</v>
      </c>
      <c r="U631">
        <v>410</v>
      </c>
      <c r="V631">
        <v>385</v>
      </c>
      <c r="W631">
        <v>0</v>
      </c>
      <c r="X631">
        <v>0</v>
      </c>
      <c r="Y631">
        <v>24</v>
      </c>
      <c r="Z631">
        <v>24</v>
      </c>
      <c r="AA631">
        <v>0</v>
      </c>
      <c r="AB631">
        <v>0</v>
      </c>
      <c r="AC631">
        <v>8</v>
      </c>
      <c r="AD631">
        <v>8</v>
      </c>
      <c r="AG631" t="s">
        <v>223</v>
      </c>
      <c r="AH631" t="s">
        <v>435</v>
      </c>
      <c r="AI631">
        <v>138</v>
      </c>
      <c r="AJ631">
        <v>43</v>
      </c>
      <c r="AK631">
        <v>72</v>
      </c>
      <c r="AL631">
        <v>5</v>
      </c>
      <c r="AM631">
        <v>4</v>
      </c>
      <c r="AN631" t="s">
        <v>49</v>
      </c>
      <c r="AO631">
        <v>0.93902439024390238</v>
      </c>
      <c r="AP631">
        <v>79</v>
      </c>
    </row>
    <row r="632" spans="1:42" x14ac:dyDescent="0.35">
      <c r="A632">
        <v>97532</v>
      </c>
      <c r="B632">
        <v>8619</v>
      </c>
      <c r="C632">
        <v>950561</v>
      </c>
      <c r="D632">
        <v>469</v>
      </c>
      <c r="E632" s="147">
        <v>44207</v>
      </c>
      <c r="F632" t="s">
        <v>559</v>
      </c>
      <c r="G632" t="s">
        <v>88</v>
      </c>
      <c r="H632" s="147">
        <v>44210</v>
      </c>
      <c r="I632">
        <v>7</v>
      </c>
      <c r="J632" t="s">
        <v>198</v>
      </c>
      <c r="L632">
        <v>0</v>
      </c>
      <c r="M632">
        <v>0</v>
      </c>
      <c r="U632">
        <v>947</v>
      </c>
      <c r="V632">
        <v>822</v>
      </c>
      <c r="W632">
        <v>0</v>
      </c>
      <c r="X632">
        <v>0</v>
      </c>
      <c r="Y632">
        <v>49</v>
      </c>
      <c r="Z632">
        <v>37</v>
      </c>
      <c r="AA632">
        <v>0</v>
      </c>
      <c r="AB632">
        <v>0</v>
      </c>
      <c r="AC632">
        <v>39</v>
      </c>
      <c r="AD632">
        <v>20</v>
      </c>
      <c r="AG632" t="s">
        <v>223</v>
      </c>
      <c r="AH632" t="s">
        <v>435</v>
      </c>
      <c r="AI632">
        <v>372</v>
      </c>
      <c r="AJ632">
        <v>98</v>
      </c>
      <c r="AK632">
        <v>135</v>
      </c>
      <c r="AL632">
        <v>18</v>
      </c>
      <c r="AM632">
        <v>9</v>
      </c>
      <c r="AN632" t="s">
        <v>49</v>
      </c>
      <c r="AO632">
        <v>0.86800422386483633</v>
      </c>
      <c r="AP632">
        <v>177</v>
      </c>
    </row>
    <row r="633" spans="1:42" x14ac:dyDescent="0.35">
      <c r="A633">
        <v>97533</v>
      </c>
      <c r="B633">
        <v>8619</v>
      </c>
      <c r="C633">
        <v>950562</v>
      </c>
      <c r="D633">
        <v>502</v>
      </c>
      <c r="E633" s="147">
        <v>44207</v>
      </c>
      <c r="F633" t="s">
        <v>592</v>
      </c>
      <c r="G633" t="s">
        <v>90</v>
      </c>
      <c r="H633" s="147">
        <v>44210</v>
      </c>
      <c r="I633">
        <v>7</v>
      </c>
      <c r="J633" t="s">
        <v>198</v>
      </c>
      <c r="L633">
        <v>0</v>
      </c>
      <c r="M633">
        <v>0</v>
      </c>
      <c r="U633">
        <v>758</v>
      </c>
      <c r="V633">
        <v>670</v>
      </c>
      <c r="W633">
        <v>0</v>
      </c>
      <c r="X633">
        <v>0</v>
      </c>
      <c r="Y633">
        <v>29</v>
      </c>
      <c r="Z633">
        <v>25</v>
      </c>
      <c r="AA633">
        <v>0</v>
      </c>
      <c r="AB633">
        <v>0</v>
      </c>
      <c r="AC633">
        <v>12</v>
      </c>
      <c r="AD633">
        <v>1</v>
      </c>
      <c r="AG633" t="s">
        <v>223</v>
      </c>
      <c r="AH633" t="s">
        <v>435</v>
      </c>
      <c r="AI633">
        <v>359</v>
      </c>
      <c r="AJ633">
        <v>130</v>
      </c>
      <c r="AK633">
        <v>95</v>
      </c>
      <c r="AL633">
        <v>22</v>
      </c>
      <c r="AM633">
        <v>9</v>
      </c>
      <c r="AN633" t="s">
        <v>49</v>
      </c>
      <c r="AO633">
        <v>0.88390501319261217</v>
      </c>
      <c r="AP633">
        <v>191</v>
      </c>
    </row>
    <row r="634" spans="1:42" x14ac:dyDescent="0.35">
      <c r="A634">
        <v>97534</v>
      </c>
      <c r="B634">
        <v>8619</v>
      </c>
      <c r="C634">
        <v>950563</v>
      </c>
      <c r="D634">
        <v>344</v>
      </c>
      <c r="E634" s="147">
        <v>44207</v>
      </c>
      <c r="F634" t="s">
        <v>540</v>
      </c>
      <c r="G634" t="s">
        <v>92</v>
      </c>
      <c r="H634" s="147">
        <v>44210</v>
      </c>
      <c r="I634">
        <v>7</v>
      </c>
      <c r="J634" t="s">
        <v>198</v>
      </c>
      <c r="L634">
        <v>0</v>
      </c>
      <c r="M634">
        <v>0</v>
      </c>
      <c r="U634">
        <v>1238</v>
      </c>
      <c r="V634">
        <v>1081</v>
      </c>
      <c r="W634">
        <v>0</v>
      </c>
      <c r="X634">
        <v>0</v>
      </c>
      <c r="Y634">
        <v>57</v>
      </c>
      <c r="Z634">
        <v>52</v>
      </c>
      <c r="AA634">
        <v>0</v>
      </c>
      <c r="AB634">
        <v>0</v>
      </c>
      <c r="AC634">
        <v>10</v>
      </c>
      <c r="AD634">
        <v>1</v>
      </c>
      <c r="AG634" t="s">
        <v>223</v>
      </c>
      <c r="AH634" t="s">
        <v>435</v>
      </c>
      <c r="AI634">
        <v>497</v>
      </c>
      <c r="AJ634">
        <v>126</v>
      </c>
      <c r="AK634">
        <v>197</v>
      </c>
      <c r="AL634">
        <v>10</v>
      </c>
      <c r="AM634">
        <v>4</v>
      </c>
      <c r="AN634" t="s">
        <v>49</v>
      </c>
      <c r="AO634">
        <v>0.87318255250403876</v>
      </c>
      <c r="AP634">
        <v>232</v>
      </c>
    </row>
    <row r="635" spans="1:42" x14ac:dyDescent="0.35">
      <c r="A635">
        <v>97538</v>
      </c>
      <c r="B635">
        <v>8619</v>
      </c>
      <c r="C635">
        <v>950567</v>
      </c>
      <c r="D635">
        <v>421</v>
      </c>
      <c r="E635" s="147">
        <v>44207</v>
      </c>
      <c r="F635" t="s">
        <v>593</v>
      </c>
      <c r="G635" t="s">
        <v>112</v>
      </c>
      <c r="H635" s="147">
        <v>44210</v>
      </c>
      <c r="I635">
        <v>7</v>
      </c>
      <c r="J635" t="s">
        <v>198</v>
      </c>
      <c r="L635">
        <v>0</v>
      </c>
      <c r="M635">
        <v>0</v>
      </c>
      <c r="U635">
        <v>478</v>
      </c>
      <c r="V635">
        <v>419</v>
      </c>
      <c r="W635">
        <v>0</v>
      </c>
      <c r="X635">
        <v>0</v>
      </c>
      <c r="Y635">
        <v>35</v>
      </c>
      <c r="Z635">
        <v>27</v>
      </c>
      <c r="AA635">
        <v>0</v>
      </c>
      <c r="AB635">
        <v>0</v>
      </c>
      <c r="AC635">
        <v>20</v>
      </c>
      <c r="AD635">
        <v>9</v>
      </c>
      <c r="AG635" t="s">
        <v>223</v>
      </c>
      <c r="AH635" t="s">
        <v>435</v>
      </c>
      <c r="AI635">
        <v>185</v>
      </c>
      <c r="AJ635">
        <v>47</v>
      </c>
      <c r="AK635">
        <v>113</v>
      </c>
      <c r="AL635">
        <v>23</v>
      </c>
      <c r="AM635">
        <v>16</v>
      </c>
      <c r="AN635" t="s">
        <v>49</v>
      </c>
      <c r="AO635">
        <v>0.87656903765690375</v>
      </c>
      <c r="AP635">
        <v>93</v>
      </c>
    </row>
    <row r="636" spans="1:42" x14ac:dyDescent="0.35">
      <c r="A636">
        <v>97540</v>
      </c>
      <c r="B636">
        <v>8619</v>
      </c>
      <c r="C636">
        <v>950569</v>
      </c>
      <c r="D636">
        <v>370</v>
      </c>
      <c r="E636" s="147">
        <v>44207</v>
      </c>
      <c r="F636" t="s">
        <v>561</v>
      </c>
      <c r="G636" t="s">
        <v>433</v>
      </c>
      <c r="H636" s="147">
        <v>44210</v>
      </c>
      <c r="I636">
        <v>7</v>
      </c>
      <c r="J636" t="s">
        <v>198</v>
      </c>
      <c r="L636">
        <v>0</v>
      </c>
      <c r="M636">
        <v>0</v>
      </c>
      <c r="U636">
        <v>956</v>
      </c>
      <c r="V636">
        <v>894</v>
      </c>
      <c r="W636">
        <v>0</v>
      </c>
      <c r="X636">
        <v>0</v>
      </c>
      <c r="Y636">
        <v>56</v>
      </c>
      <c r="Z636">
        <v>56</v>
      </c>
      <c r="AA636">
        <v>0</v>
      </c>
      <c r="AB636">
        <v>0</v>
      </c>
      <c r="AC636">
        <v>22</v>
      </c>
      <c r="AD636">
        <v>22</v>
      </c>
      <c r="AG636" t="s">
        <v>223</v>
      </c>
      <c r="AH636" t="s">
        <v>435</v>
      </c>
      <c r="AI636">
        <v>430</v>
      </c>
      <c r="AJ636">
        <v>116</v>
      </c>
      <c r="AK636">
        <v>145</v>
      </c>
      <c r="AL636">
        <v>31</v>
      </c>
      <c r="AM636">
        <v>17</v>
      </c>
      <c r="AN636" t="s">
        <v>49</v>
      </c>
      <c r="AO636">
        <v>0.93514644351464438</v>
      </c>
      <c r="AP636">
        <v>230</v>
      </c>
    </row>
    <row r="637" spans="1:42" x14ac:dyDescent="0.35">
      <c r="A637">
        <v>97547</v>
      </c>
      <c r="B637">
        <v>8619</v>
      </c>
      <c r="C637">
        <v>950576</v>
      </c>
      <c r="D637">
        <v>451</v>
      </c>
      <c r="E637" s="147">
        <v>44207</v>
      </c>
      <c r="F637" t="s">
        <v>594</v>
      </c>
      <c r="G637" t="s">
        <v>95</v>
      </c>
      <c r="H637" s="147">
        <v>44210</v>
      </c>
      <c r="I637">
        <v>7</v>
      </c>
      <c r="J637" t="s">
        <v>198</v>
      </c>
      <c r="L637">
        <v>0</v>
      </c>
      <c r="M637">
        <v>0</v>
      </c>
      <c r="U637">
        <v>805</v>
      </c>
      <c r="V637">
        <v>709</v>
      </c>
      <c r="W637">
        <v>0</v>
      </c>
      <c r="X637">
        <v>0</v>
      </c>
      <c r="Y637">
        <v>26</v>
      </c>
      <c r="Z637">
        <v>23</v>
      </c>
      <c r="AA637">
        <v>0</v>
      </c>
      <c r="AB637">
        <v>0</v>
      </c>
      <c r="AC637">
        <v>12</v>
      </c>
      <c r="AD637">
        <v>5</v>
      </c>
      <c r="AG637" t="s">
        <v>224</v>
      </c>
      <c r="AH637" t="s">
        <v>435</v>
      </c>
      <c r="AI637">
        <v>402</v>
      </c>
      <c r="AJ637">
        <v>135</v>
      </c>
      <c r="AK637">
        <v>118</v>
      </c>
      <c r="AL637">
        <v>18</v>
      </c>
      <c r="AM637">
        <v>9</v>
      </c>
      <c r="AN637" t="s">
        <v>49</v>
      </c>
      <c r="AO637">
        <v>0.88074534161490681</v>
      </c>
      <c r="AP637">
        <v>232</v>
      </c>
    </row>
    <row r="638" spans="1:42" x14ac:dyDescent="0.35">
      <c r="A638">
        <v>97548</v>
      </c>
      <c r="B638">
        <v>8619</v>
      </c>
      <c r="C638">
        <v>950577</v>
      </c>
      <c r="D638">
        <v>405</v>
      </c>
      <c r="E638" s="147">
        <v>44207</v>
      </c>
      <c r="F638" t="s">
        <v>557</v>
      </c>
      <c r="G638" t="s">
        <v>96</v>
      </c>
      <c r="H638" s="147">
        <v>44210</v>
      </c>
      <c r="I638">
        <v>7</v>
      </c>
      <c r="J638" t="s">
        <v>198</v>
      </c>
      <c r="L638">
        <v>0</v>
      </c>
      <c r="M638">
        <v>0</v>
      </c>
      <c r="U638">
        <v>540</v>
      </c>
      <c r="V638">
        <v>497</v>
      </c>
      <c r="W638">
        <v>0</v>
      </c>
      <c r="X638">
        <v>0</v>
      </c>
      <c r="Y638">
        <v>21</v>
      </c>
      <c r="Z638">
        <v>15</v>
      </c>
      <c r="AA638">
        <v>0</v>
      </c>
      <c r="AB638">
        <v>0</v>
      </c>
      <c r="AC638">
        <v>10</v>
      </c>
      <c r="AD638">
        <v>4</v>
      </c>
      <c r="AG638" t="s">
        <v>224</v>
      </c>
      <c r="AH638" t="s">
        <v>435</v>
      </c>
      <c r="AI638">
        <v>227</v>
      </c>
      <c r="AJ638">
        <v>60</v>
      </c>
      <c r="AK638">
        <v>58</v>
      </c>
      <c r="AL638">
        <v>10</v>
      </c>
      <c r="AM638">
        <v>15</v>
      </c>
      <c r="AN638" t="s">
        <v>49</v>
      </c>
      <c r="AO638">
        <v>0.92037037037037039</v>
      </c>
      <c r="AP638">
        <v>111</v>
      </c>
    </row>
    <row r="639" spans="1:42" x14ac:dyDescent="0.35">
      <c r="A639">
        <v>97551</v>
      </c>
      <c r="B639">
        <v>8619</v>
      </c>
      <c r="C639">
        <v>950580</v>
      </c>
      <c r="D639">
        <v>348</v>
      </c>
      <c r="E639" s="147">
        <v>44207</v>
      </c>
      <c r="F639" t="s">
        <v>558</v>
      </c>
      <c r="G639" t="s">
        <v>129</v>
      </c>
      <c r="H639" s="147">
        <v>44210</v>
      </c>
      <c r="I639">
        <v>7</v>
      </c>
      <c r="J639" t="s">
        <v>198</v>
      </c>
      <c r="L639">
        <v>0</v>
      </c>
      <c r="M639">
        <v>0</v>
      </c>
      <c r="U639">
        <v>570</v>
      </c>
      <c r="V639">
        <v>483</v>
      </c>
      <c r="W639">
        <v>0</v>
      </c>
      <c r="X639">
        <v>0</v>
      </c>
      <c r="Y639">
        <v>15</v>
      </c>
      <c r="Z639">
        <v>15</v>
      </c>
      <c r="AA639">
        <v>0</v>
      </c>
      <c r="AB639">
        <v>0</v>
      </c>
      <c r="AC639">
        <v>7</v>
      </c>
      <c r="AD639">
        <v>6</v>
      </c>
      <c r="AG639" t="s">
        <v>224</v>
      </c>
      <c r="AH639" t="s">
        <v>435</v>
      </c>
      <c r="AI639">
        <v>231</v>
      </c>
      <c r="AJ639">
        <v>70</v>
      </c>
      <c r="AK639">
        <v>85</v>
      </c>
      <c r="AL639">
        <v>6</v>
      </c>
      <c r="AM639">
        <v>10</v>
      </c>
      <c r="AN639" t="s">
        <v>49</v>
      </c>
      <c r="AO639">
        <v>0.84736842105263155</v>
      </c>
      <c r="AP639">
        <v>114</v>
      </c>
    </row>
    <row r="640" spans="1:42" x14ac:dyDescent="0.35">
      <c r="A640">
        <v>97553</v>
      </c>
      <c r="B640">
        <v>8619</v>
      </c>
      <c r="C640">
        <v>950582</v>
      </c>
      <c r="D640">
        <v>337</v>
      </c>
      <c r="E640" s="147">
        <v>44207</v>
      </c>
      <c r="F640" t="s">
        <v>595</v>
      </c>
      <c r="G640" t="s">
        <v>132</v>
      </c>
      <c r="H640" s="147">
        <v>44210</v>
      </c>
      <c r="I640">
        <v>7</v>
      </c>
      <c r="J640" t="s">
        <v>198</v>
      </c>
      <c r="L640">
        <v>0</v>
      </c>
      <c r="M640">
        <v>0</v>
      </c>
      <c r="U640">
        <v>538</v>
      </c>
      <c r="V640">
        <v>469</v>
      </c>
      <c r="W640">
        <v>0</v>
      </c>
      <c r="X640">
        <v>0</v>
      </c>
      <c r="Y640">
        <v>18</v>
      </c>
      <c r="Z640">
        <v>18</v>
      </c>
      <c r="AA640">
        <v>0</v>
      </c>
      <c r="AB640">
        <v>0</v>
      </c>
      <c r="AC640">
        <v>7</v>
      </c>
      <c r="AD640">
        <v>3</v>
      </c>
      <c r="AG640" t="s">
        <v>224</v>
      </c>
      <c r="AH640" t="s">
        <v>435</v>
      </c>
      <c r="AI640">
        <v>238</v>
      </c>
      <c r="AJ640">
        <v>75</v>
      </c>
      <c r="AK640">
        <v>61</v>
      </c>
      <c r="AL640">
        <v>5</v>
      </c>
      <c r="AM640">
        <v>2</v>
      </c>
      <c r="AN640" t="s">
        <v>49</v>
      </c>
      <c r="AO640">
        <v>0.87174721189591076</v>
      </c>
      <c r="AP640">
        <v>131</v>
      </c>
    </row>
    <row r="641" spans="1:42" x14ac:dyDescent="0.35">
      <c r="A641">
        <v>97558</v>
      </c>
      <c r="B641">
        <v>8619</v>
      </c>
      <c r="C641">
        <v>950587</v>
      </c>
      <c r="D641">
        <v>25513</v>
      </c>
      <c r="E641" s="147">
        <v>44207</v>
      </c>
      <c r="F641" t="s">
        <v>596</v>
      </c>
      <c r="G641" t="s">
        <v>437</v>
      </c>
      <c r="H641" s="147">
        <v>44210</v>
      </c>
      <c r="I641">
        <v>7</v>
      </c>
      <c r="J641" t="s">
        <v>198</v>
      </c>
      <c r="L641">
        <v>0</v>
      </c>
      <c r="M641">
        <v>0</v>
      </c>
      <c r="U641">
        <v>1030</v>
      </c>
      <c r="V641">
        <v>923</v>
      </c>
      <c r="W641">
        <v>0</v>
      </c>
      <c r="X641">
        <v>0</v>
      </c>
      <c r="Y641">
        <v>37</v>
      </c>
      <c r="Z641">
        <v>37</v>
      </c>
      <c r="AA641">
        <v>0</v>
      </c>
      <c r="AB641">
        <v>0</v>
      </c>
      <c r="AC641">
        <v>20</v>
      </c>
      <c r="AD641">
        <v>16</v>
      </c>
      <c r="AG641" t="s">
        <v>224</v>
      </c>
      <c r="AH641" t="s">
        <v>435</v>
      </c>
      <c r="AI641">
        <v>473</v>
      </c>
      <c r="AJ641">
        <v>149</v>
      </c>
      <c r="AK641">
        <v>162</v>
      </c>
      <c r="AL641">
        <v>10</v>
      </c>
      <c r="AM641">
        <v>4</v>
      </c>
      <c r="AN641" t="s">
        <v>49</v>
      </c>
      <c r="AO641">
        <v>0.89611650485436889</v>
      </c>
      <c r="AP641">
        <v>268</v>
      </c>
    </row>
    <row r="642" spans="1:42" x14ac:dyDescent="0.35">
      <c r="A642">
        <v>97559</v>
      </c>
      <c r="B642">
        <v>8619</v>
      </c>
      <c r="C642">
        <v>950588</v>
      </c>
      <c r="D642">
        <v>388</v>
      </c>
      <c r="E642" s="147">
        <v>44207</v>
      </c>
      <c r="F642" t="s">
        <v>554</v>
      </c>
      <c r="G642" t="s">
        <v>222</v>
      </c>
      <c r="H642" s="147">
        <v>44210</v>
      </c>
      <c r="I642">
        <v>7</v>
      </c>
      <c r="J642" t="s">
        <v>198</v>
      </c>
      <c r="L642">
        <v>0</v>
      </c>
      <c r="M642">
        <v>0</v>
      </c>
      <c r="U642">
        <v>827</v>
      </c>
      <c r="V642">
        <v>749</v>
      </c>
      <c r="W642">
        <v>0</v>
      </c>
      <c r="X642">
        <v>0</v>
      </c>
      <c r="Y642">
        <v>44</v>
      </c>
      <c r="Z642">
        <v>34</v>
      </c>
      <c r="AA642">
        <v>0</v>
      </c>
      <c r="AB642">
        <v>0</v>
      </c>
      <c r="AC642">
        <v>15</v>
      </c>
      <c r="AD642">
        <v>15</v>
      </c>
      <c r="AG642" t="s">
        <v>224</v>
      </c>
      <c r="AH642" t="s">
        <v>435</v>
      </c>
      <c r="AI642">
        <v>348</v>
      </c>
      <c r="AJ642">
        <v>95</v>
      </c>
      <c r="AK642">
        <v>114</v>
      </c>
      <c r="AL642">
        <v>15</v>
      </c>
      <c r="AM642">
        <v>2</v>
      </c>
      <c r="AN642" t="s">
        <v>49</v>
      </c>
      <c r="AO642">
        <v>0.90568319226118499</v>
      </c>
      <c r="AP642">
        <v>175</v>
      </c>
    </row>
    <row r="643" spans="1:42" x14ac:dyDescent="0.35">
      <c r="A643">
        <v>97561</v>
      </c>
      <c r="B643">
        <v>8619</v>
      </c>
      <c r="C643">
        <v>950590</v>
      </c>
      <c r="D643">
        <v>330</v>
      </c>
      <c r="E643" s="147">
        <v>44207</v>
      </c>
      <c r="F643" t="s">
        <v>555</v>
      </c>
      <c r="G643" t="s">
        <v>307</v>
      </c>
      <c r="H643" s="147">
        <v>44211</v>
      </c>
      <c r="I643">
        <v>7</v>
      </c>
      <c r="J643" t="s">
        <v>194</v>
      </c>
      <c r="L643">
        <v>0</v>
      </c>
      <c r="M643">
        <v>0</v>
      </c>
      <c r="U643">
        <v>1015</v>
      </c>
      <c r="V643">
        <v>921</v>
      </c>
      <c r="W643">
        <v>0</v>
      </c>
      <c r="X643">
        <v>0</v>
      </c>
      <c r="Y643">
        <v>38</v>
      </c>
      <c r="Z643">
        <v>29</v>
      </c>
      <c r="AA643">
        <v>0</v>
      </c>
      <c r="AB643">
        <v>0</v>
      </c>
      <c r="AC643">
        <v>22</v>
      </c>
      <c r="AD643">
        <v>13</v>
      </c>
      <c r="AG643" t="s">
        <v>291</v>
      </c>
      <c r="AH643" t="s">
        <v>435</v>
      </c>
      <c r="AI643">
        <v>397</v>
      </c>
      <c r="AJ643">
        <v>127</v>
      </c>
      <c r="AK643">
        <v>159</v>
      </c>
      <c r="AL643">
        <v>8</v>
      </c>
      <c r="AM643">
        <v>7</v>
      </c>
      <c r="AN643" t="s">
        <v>49</v>
      </c>
      <c r="AO643">
        <v>0.90738916256157631</v>
      </c>
      <c r="AP643">
        <v>202</v>
      </c>
    </row>
    <row r="644" spans="1:42" x14ac:dyDescent="0.35">
      <c r="A644">
        <v>97563</v>
      </c>
      <c r="B644">
        <v>8619</v>
      </c>
      <c r="C644">
        <v>950592</v>
      </c>
      <c r="D644">
        <v>482</v>
      </c>
      <c r="E644" s="147">
        <v>44207</v>
      </c>
      <c r="F644" t="s">
        <v>549</v>
      </c>
      <c r="G644" t="s">
        <v>86</v>
      </c>
      <c r="H644" s="147">
        <v>44211</v>
      </c>
      <c r="I644">
        <v>7</v>
      </c>
      <c r="J644" t="s">
        <v>194</v>
      </c>
      <c r="L644">
        <v>0</v>
      </c>
      <c r="M644">
        <v>0</v>
      </c>
      <c r="U644">
        <v>532</v>
      </c>
      <c r="V644">
        <v>454</v>
      </c>
      <c r="W644">
        <v>0</v>
      </c>
      <c r="X644">
        <v>0</v>
      </c>
      <c r="Y644">
        <v>34</v>
      </c>
      <c r="Z644">
        <v>25</v>
      </c>
      <c r="AA644">
        <v>0</v>
      </c>
      <c r="AB644">
        <v>0</v>
      </c>
      <c r="AC644">
        <v>10</v>
      </c>
      <c r="AD644">
        <v>6</v>
      </c>
      <c r="AG644" t="s">
        <v>291</v>
      </c>
      <c r="AH644" t="s">
        <v>435</v>
      </c>
      <c r="AI644">
        <v>222</v>
      </c>
      <c r="AJ644">
        <v>52</v>
      </c>
      <c r="AK644">
        <v>65</v>
      </c>
      <c r="AL644">
        <v>9</v>
      </c>
      <c r="AM644">
        <v>1</v>
      </c>
      <c r="AN644" t="s">
        <v>49</v>
      </c>
      <c r="AO644">
        <v>0.85338345864661658</v>
      </c>
      <c r="AP644">
        <v>105</v>
      </c>
    </row>
    <row r="645" spans="1:42" x14ac:dyDescent="0.35">
      <c r="A645">
        <v>97564</v>
      </c>
      <c r="B645">
        <v>8619</v>
      </c>
      <c r="C645">
        <v>950593</v>
      </c>
      <c r="D645">
        <v>342</v>
      </c>
      <c r="E645" s="147">
        <v>44207</v>
      </c>
      <c r="F645" t="s">
        <v>583</v>
      </c>
      <c r="G645" t="s">
        <v>259</v>
      </c>
      <c r="H645" s="147">
        <v>44211</v>
      </c>
      <c r="I645">
        <v>7</v>
      </c>
      <c r="J645" t="s">
        <v>194</v>
      </c>
      <c r="L645">
        <v>0</v>
      </c>
      <c r="M645">
        <v>0</v>
      </c>
      <c r="U645">
        <v>1062</v>
      </c>
      <c r="V645">
        <v>921</v>
      </c>
      <c r="W645">
        <v>0</v>
      </c>
      <c r="X645">
        <v>0</v>
      </c>
      <c r="Y645">
        <v>45</v>
      </c>
      <c r="Z645">
        <v>45</v>
      </c>
      <c r="AA645">
        <v>0</v>
      </c>
      <c r="AB645">
        <v>0</v>
      </c>
      <c r="AC645">
        <v>10</v>
      </c>
      <c r="AD645">
        <v>4</v>
      </c>
      <c r="AG645" t="s">
        <v>291</v>
      </c>
      <c r="AH645" t="s">
        <v>435</v>
      </c>
      <c r="AI645">
        <v>392</v>
      </c>
      <c r="AJ645">
        <v>91</v>
      </c>
      <c r="AK645">
        <v>163</v>
      </c>
      <c r="AL645">
        <v>4</v>
      </c>
      <c r="AM645">
        <v>1</v>
      </c>
      <c r="AN645" t="s">
        <v>49</v>
      </c>
      <c r="AO645">
        <v>0.86723163841807904</v>
      </c>
      <c r="AP645">
        <v>175</v>
      </c>
    </row>
    <row r="646" spans="1:42" x14ac:dyDescent="0.35">
      <c r="A646">
        <v>97568</v>
      </c>
      <c r="B646">
        <v>8619</v>
      </c>
      <c r="C646">
        <v>950597</v>
      </c>
      <c r="D646">
        <v>399</v>
      </c>
      <c r="E646" s="147">
        <v>44207</v>
      </c>
      <c r="F646" t="s">
        <v>584</v>
      </c>
      <c r="G646" t="s">
        <v>116</v>
      </c>
      <c r="H646" s="147">
        <v>44211</v>
      </c>
      <c r="I646">
        <v>7</v>
      </c>
      <c r="J646" t="s">
        <v>194</v>
      </c>
      <c r="L646">
        <v>0</v>
      </c>
      <c r="M646">
        <v>0</v>
      </c>
      <c r="U646">
        <v>877</v>
      </c>
      <c r="V646">
        <v>795</v>
      </c>
      <c r="W646">
        <v>0</v>
      </c>
      <c r="X646">
        <v>0</v>
      </c>
      <c r="Y646">
        <v>66</v>
      </c>
      <c r="Z646">
        <v>50</v>
      </c>
      <c r="AA646">
        <v>0</v>
      </c>
      <c r="AB646">
        <v>0</v>
      </c>
      <c r="AC646">
        <v>15</v>
      </c>
      <c r="AD646">
        <v>9</v>
      </c>
      <c r="AG646" t="s">
        <v>291</v>
      </c>
      <c r="AH646" t="s">
        <v>435</v>
      </c>
      <c r="AI646">
        <v>369</v>
      </c>
      <c r="AJ646">
        <v>99</v>
      </c>
      <c r="AK646">
        <v>117</v>
      </c>
      <c r="AL646">
        <v>10</v>
      </c>
      <c r="AM646">
        <v>7</v>
      </c>
      <c r="AN646" t="s">
        <v>49</v>
      </c>
      <c r="AO646">
        <v>0.90649942987457244</v>
      </c>
      <c r="AP646">
        <v>190</v>
      </c>
    </row>
    <row r="647" spans="1:42" x14ac:dyDescent="0.35">
      <c r="A647">
        <v>97569</v>
      </c>
      <c r="B647">
        <v>8619</v>
      </c>
      <c r="C647">
        <v>950598</v>
      </c>
      <c r="D647">
        <v>360</v>
      </c>
      <c r="E647" s="147">
        <v>44207</v>
      </c>
      <c r="F647" t="s">
        <v>585</v>
      </c>
      <c r="G647" t="s">
        <v>120</v>
      </c>
      <c r="H647" s="147">
        <v>44211</v>
      </c>
      <c r="I647">
        <v>7</v>
      </c>
      <c r="J647" t="s">
        <v>194</v>
      </c>
      <c r="L647">
        <v>0</v>
      </c>
      <c r="M647">
        <v>0</v>
      </c>
      <c r="U647">
        <v>837</v>
      </c>
      <c r="V647">
        <v>763</v>
      </c>
      <c r="W647">
        <v>0</v>
      </c>
      <c r="X647">
        <v>0</v>
      </c>
      <c r="Y647">
        <v>22</v>
      </c>
      <c r="Z647">
        <v>22</v>
      </c>
      <c r="AA647">
        <v>0</v>
      </c>
      <c r="AB647">
        <v>0</v>
      </c>
      <c r="AC647">
        <v>3</v>
      </c>
      <c r="AD647">
        <v>1</v>
      </c>
      <c r="AG647" t="s">
        <v>291</v>
      </c>
      <c r="AH647" t="s">
        <v>435</v>
      </c>
      <c r="AI647">
        <v>349</v>
      </c>
      <c r="AJ647">
        <v>105</v>
      </c>
      <c r="AK647">
        <v>107</v>
      </c>
      <c r="AL647">
        <v>27</v>
      </c>
      <c r="AM647">
        <v>16</v>
      </c>
      <c r="AN647" t="s">
        <v>49</v>
      </c>
      <c r="AO647">
        <v>0.91158900836320189</v>
      </c>
      <c r="AP647">
        <v>193</v>
      </c>
    </row>
    <row r="648" spans="1:42" x14ac:dyDescent="0.35">
      <c r="A648">
        <v>97570</v>
      </c>
      <c r="B648">
        <v>8619</v>
      </c>
      <c r="C648">
        <v>950599</v>
      </c>
      <c r="D648">
        <v>431</v>
      </c>
      <c r="E648" s="147">
        <v>44207</v>
      </c>
      <c r="F648" t="s">
        <v>586</v>
      </c>
      <c r="G648" t="s">
        <v>151</v>
      </c>
      <c r="H648" s="147">
        <v>44211</v>
      </c>
      <c r="I648">
        <v>7</v>
      </c>
      <c r="J648" t="s">
        <v>194</v>
      </c>
      <c r="L648">
        <v>0</v>
      </c>
      <c r="M648">
        <v>0</v>
      </c>
      <c r="U648">
        <v>366</v>
      </c>
      <c r="V648">
        <v>313</v>
      </c>
      <c r="W648">
        <v>0</v>
      </c>
      <c r="X648">
        <v>0</v>
      </c>
      <c r="Y648">
        <v>20</v>
      </c>
      <c r="Z648">
        <v>17</v>
      </c>
      <c r="AA648">
        <v>0</v>
      </c>
      <c r="AB648">
        <v>0</v>
      </c>
      <c r="AC648">
        <v>6</v>
      </c>
      <c r="AD648">
        <v>5</v>
      </c>
      <c r="AG648" t="s">
        <v>291</v>
      </c>
      <c r="AH648" t="s">
        <v>435</v>
      </c>
      <c r="AI648">
        <v>128</v>
      </c>
      <c r="AJ648">
        <v>33</v>
      </c>
      <c r="AK648">
        <v>61</v>
      </c>
      <c r="AL648">
        <v>21</v>
      </c>
      <c r="AM648">
        <v>13</v>
      </c>
      <c r="AN648" t="s">
        <v>49</v>
      </c>
      <c r="AO648">
        <v>0.85519125683060104</v>
      </c>
      <c r="AP648">
        <v>63</v>
      </c>
    </row>
    <row r="649" spans="1:42" x14ac:dyDescent="0.35">
      <c r="A649">
        <v>97572</v>
      </c>
      <c r="B649">
        <v>8619</v>
      </c>
      <c r="C649">
        <v>950601</v>
      </c>
      <c r="D649">
        <v>481</v>
      </c>
      <c r="E649" s="147">
        <v>44207</v>
      </c>
      <c r="F649" t="s">
        <v>551</v>
      </c>
      <c r="G649" t="s">
        <v>164</v>
      </c>
      <c r="H649" s="147">
        <v>44211</v>
      </c>
      <c r="I649">
        <v>7</v>
      </c>
      <c r="J649" t="s">
        <v>194</v>
      </c>
      <c r="L649">
        <v>0</v>
      </c>
      <c r="M649">
        <v>0</v>
      </c>
      <c r="U649">
        <v>633</v>
      </c>
      <c r="V649">
        <v>559</v>
      </c>
      <c r="W649">
        <v>0</v>
      </c>
      <c r="X649">
        <v>0</v>
      </c>
      <c r="Y649">
        <v>34</v>
      </c>
      <c r="Z649">
        <v>26</v>
      </c>
      <c r="AA649">
        <v>0</v>
      </c>
      <c r="AB649">
        <v>0</v>
      </c>
      <c r="AC649">
        <v>6</v>
      </c>
      <c r="AD649">
        <v>6</v>
      </c>
      <c r="AG649" t="s">
        <v>291</v>
      </c>
      <c r="AH649" t="s">
        <v>435</v>
      </c>
      <c r="AI649">
        <v>284</v>
      </c>
      <c r="AJ649">
        <v>77</v>
      </c>
      <c r="AK649">
        <v>79</v>
      </c>
      <c r="AL649">
        <v>15</v>
      </c>
      <c r="AM649">
        <v>1</v>
      </c>
      <c r="AN649" t="s">
        <v>49</v>
      </c>
      <c r="AO649">
        <v>0.88309636650868883</v>
      </c>
      <c r="AP649">
        <v>135</v>
      </c>
    </row>
    <row r="650" spans="1:42" x14ac:dyDescent="0.35">
      <c r="A650">
        <v>97584</v>
      </c>
      <c r="B650">
        <v>8619</v>
      </c>
      <c r="C650">
        <v>950613</v>
      </c>
      <c r="D650">
        <v>374</v>
      </c>
      <c r="E650" s="147">
        <v>44207</v>
      </c>
      <c r="F650" t="s">
        <v>556</v>
      </c>
      <c r="G650" t="s">
        <v>109</v>
      </c>
      <c r="H650" s="147">
        <v>44211</v>
      </c>
      <c r="I650">
        <v>7</v>
      </c>
      <c r="J650" t="s">
        <v>194</v>
      </c>
      <c r="L650">
        <v>0</v>
      </c>
      <c r="M650">
        <v>0</v>
      </c>
      <c r="U650">
        <v>871</v>
      </c>
      <c r="V650">
        <v>803</v>
      </c>
      <c r="W650">
        <v>0</v>
      </c>
      <c r="X650">
        <v>0</v>
      </c>
      <c r="Y650">
        <v>59</v>
      </c>
      <c r="Z650">
        <v>56</v>
      </c>
      <c r="AA650">
        <v>0</v>
      </c>
      <c r="AB650">
        <v>0</v>
      </c>
      <c r="AC650">
        <v>5</v>
      </c>
      <c r="AD650">
        <v>1</v>
      </c>
      <c r="AG650" t="s">
        <v>1</v>
      </c>
      <c r="AH650" t="s">
        <v>435</v>
      </c>
      <c r="AI650">
        <v>345</v>
      </c>
      <c r="AJ650">
        <v>121</v>
      </c>
      <c r="AK650">
        <v>151</v>
      </c>
      <c r="AL650">
        <v>8</v>
      </c>
      <c r="AM650">
        <v>2</v>
      </c>
      <c r="AN650" t="s">
        <v>49</v>
      </c>
      <c r="AO650">
        <v>0.92192881745120547</v>
      </c>
      <c r="AP650">
        <v>181</v>
      </c>
    </row>
    <row r="651" spans="1:42" x14ac:dyDescent="0.35">
      <c r="A651">
        <v>97587</v>
      </c>
      <c r="B651">
        <v>8619</v>
      </c>
      <c r="C651">
        <v>950616</v>
      </c>
      <c r="D651">
        <v>311</v>
      </c>
      <c r="E651" s="147">
        <v>44207</v>
      </c>
      <c r="F651" t="s">
        <v>582</v>
      </c>
      <c r="G651" t="s">
        <v>131</v>
      </c>
      <c r="H651" s="147">
        <v>44211</v>
      </c>
      <c r="I651">
        <v>7</v>
      </c>
      <c r="J651" t="s">
        <v>194</v>
      </c>
      <c r="L651">
        <v>0</v>
      </c>
      <c r="M651">
        <v>0</v>
      </c>
      <c r="U651">
        <v>931</v>
      </c>
      <c r="V651">
        <v>849</v>
      </c>
      <c r="W651">
        <v>0</v>
      </c>
      <c r="X651">
        <v>0</v>
      </c>
      <c r="Y651">
        <v>122</v>
      </c>
      <c r="Z651">
        <v>120</v>
      </c>
      <c r="AA651">
        <v>0</v>
      </c>
      <c r="AB651">
        <v>0</v>
      </c>
      <c r="AC651">
        <v>4</v>
      </c>
      <c r="AD651">
        <v>1</v>
      </c>
      <c r="AG651" t="s">
        <v>1</v>
      </c>
      <c r="AH651" t="s">
        <v>435</v>
      </c>
      <c r="AI651">
        <v>364</v>
      </c>
      <c r="AJ651">
        <v>106</v>
      </c>
      <c r="AK651">
        <v>147</v>
      </c>
      <c r="AL651">
        <v>33</v>
      </c>
      <c r="AM651">
        <v>3</v>
      </c>
      <c r="AN651" t="s">
        <v>49</v>
      </c>
      <c r="AO651">
        <v>0.91192266380236309</v>
      </c>
      <c r="AP651">
        <v>190</v>
      </c>
    </row>
    <row r="652" spans="1:42" x14ac:dyDescent="0.35">
      <c r="A652">
        <v>97598</v>
      </c>
      <c r="B652">
        <v>8619</v>
      </c>
      <c r="C652">
        <v>950627</v>
      </c>
      <c r="D652">
        <v>507</v>
      </c>
      <c r="E652" s="147">
        <v>44207</v>
      </c>
      <c r="F652" t="s">
        <v>565</v>
      </c>
      <c r="G652" t="s">
        <v>135</v>
      </c>
      <c r="H652" s="147">
        <v>44211</v>
      </c>
      <c r="I652">
        <v>7</v>
      </c>
      <c r="J652" t="s">
        <v>194</v>
      </c>
      <c r="L652">
        <v>0</v>
      </c>
      <c r="M652">
        <v>0</v>
      </c>
      <c r="U652">
        <v>720</v>
      </c>
      <c r="V652">
        <v>591</v>
      </c>
      <c r="W652">
        <v>0</v>
      </c>
      <c r="X652">
        <v>0</v>
      </c>
      <c r="Y652">
        <v>39</v>
      </c>
      <c r="Z652">
        <v>39</v>
      </c>
      <c r="AA652">
        <v>0</v>
      </c>
      <c r="AB652">
        <v>0</v>
      </c>
      <c r="AC652">
        <v>10</v>
      </c>
      <c r="AD652">
        <v>6</v>
      </c>
      <c r="AG652" t="s">
        <v>226</v>
      </c>
      <c r="AH652" t="s">
        <v>435</v>
      </c>
      <c r="AI652">
        <v>301</v>
      </c>
      <c r="AJ652">
        <v>67</v>
      </c>
      <c r="AK652">
        <v>163</v>
      </c>
      <c r="AL652">
        <v>21</v>
      </c>
      <c r="AM652">
        <v>25</v>
      </c>
      <c r="AN652" t="s">
        <v>49</v>
      </c>
      <c r="AO652">
        <v>0.8208333333333333</v>
      </c>
      <c r="AP652">
        <v>132</v>
      </c>
    </row>
    <row r="653" spans="1:42" x14ac:dyDescent="0.35">
      <c r="A653">
        <v>97600</v>
      </c>
      <c r="B653">
        <v>8619</v>
      </c>
      <c r="C653">
        <v>950629</v>
      </c>
      <c r="D653">
        <v>516</v>
      </c>
      <c r="E653" s="147">
        <v>44207</v>
      </c>
      <c r="F653" t="s">
        <v>587</v>
      </c>
      <c r="G653" t="s">
        <v>139</v>
      </c>
      <c r="H653" s="147">
        <v>44211</v>
      </c>
      <c r="I653">
        <v>7</v>
      </c>
      <c r="J653" t="s">
        <v>194</v>
      </c>
      <c r="L653">
        <v>0</v>
      </c>
      <c r="M653">
        <v>0</v>
      </c>
      <c r="U653">
        <v>731</v>
      </c>
      <c r="V653">
        <v>612</v>
      </c>
      <c r="W653">
        <v>0</v>
      </c>
      <c r="X653">
        <v>0</v>
      </c>
      <c r="Y653">
        <v>22</v>
      </c>
      <c r="Z653">
        <v>22</v>
      </c>
      <c r="AA653">
        <v>0</v>
      </c>
      <c r="AB653">
        <v>0</v>
      </c>
      <c r="AC653">
        <v>6</v>
      </c>
      <c r="AD653">
        <v>4</v>
      </c>
      <c r="AG653" t="s">
        <v>226</v>
      </c>
      <c r="AH653" t="s">
        <v>435</v>
      </c>
      <c r="AI653">
        <v>284</v>
      </c>
      <c r="AJ653">
        <v>66</v>
      </c>
      <c r="AK653">
        <v>105</v>
      </c>
      <c r="AL653">
        <v>17</v>
      </c>
      <c r="AM653">
        <v>18</v>
      </c>
      <c r="AN653" t="s">
        <v>49</v>
      </c>
      <c r="AO653">
        <v>0.83720930232558144</v>
      </c>
      <c r="AP653">
        <v>132</v>
      </c>
    </row>
    <row r="654" spans="1:42" x14ac:dyDescent="0.35">
      <c r="A654">
        <v>97602</v>
      </c>
      <c r="B654">
        <v>8619</v>
      </c>
      <c r="C654">
        <v>950631</v>
      </c>
      <c r="D654">
        <v>408</v>
      </c>
      <c r="E654" s="147">
        <v>44207</v>
      </c>
      <c r="F654" t="s">
        <v>588</v>
      </c>
      <c r="G654" t="s">
        <v>148</v>
      </c>
      <c r="H654" s="147">
        <v>44211</v>
      </c>
      <c r="I654">
        <v>7</v>
      </c>
      <c r="J654" t="s">
        <v>194</v>
      </c>
      <c r="L654">
        <v>0</v>
      </c>
      <c r="M654">
        <v>0</v>
      </c>
      <c r="U654">
        <v>614</v>
      </c>
      <c r="V654">
        <v>566</v>
      </c>
      <c r="W654">
        <v>0</v>
      </c>
      <c r="X654">
        <v>0</v>
      </c>
      <c r="Y654">
        <v>22</v>
      </c>
      <c r="Z654">
        <v>17</v>
      </c>
      <c r="AA654">
        <v>0</v>
      </c>
      <c r="AB654">
        <v>0</v>
      </c>
      <c r="AC654">
        <v>18</v>
      </c>
      <c r="AD654">
        <v>12</v>
      </c>
      <c r="AG654" t="s">
        <v>226</v>
      </c>
      <c r="AH654" t="s">
        <v>435</v>
      </c>
      <c r="AI654">
        <v>226</v>
      </c>
      <c r="AJ654">
        <v>68</v>
      </c>
      <c r="AK654">
        <v>105</v>
      </c>
      <c r="AL654">
        <v>25</v>
      </c>
      <c r="AM654">
        <v>21</v>
      </c>
      <c r="AN654" t="s">
        <v>49</v>
      </c>
      <c r="AO654">
        <v>0.92182410423452765</v>
      </c>
      <c r="AP654">
        <v>125</v>
      </c>
    </row>
    <row r="655" spans="1:42" x14ac:dyDescent="0.35">
      <c r="A655">
        <v>97603</v>
      </c>
      <c r="B655">
        <v>8619</v>
      </c>
      <c r="C655">
        <v>950632</v>
      </c>
      <c r="D655">
        <v>393</v>
      </c>
      <c r="E655" s="147">
        <v>44207</v>
      </c>
      <c r="F655" t="s">
        <v>566</v>
      </c>
      <c r="G655" t="s">
        <v>153</v>
      </c>
      <c r="H655" s="147">
        <v>44211</v>
      </c>
      <c r="I655">
        <v>7</v>
      </c>
      <c r="J655" t="s">
        <v>194</v>
      </c>
      <c r="L655">
        <v>0</v>
      </c>
      <c r="M655">
        <v>0</v>
      </c>
      <c r="U655">
        <v>826</v>
      </c>
      <c r="V655">
        <v>649</v>
      </c>
      <c r="W655">
        <v>0</v>
      </c>
      <c r="X655">
        <v>0</v>
      </c>
      <c r="Y655">
        <v>38</v>
      </c>
      <c r="Z655">
        <v>37</v>
      </c>
      <c r="AA655">
        <v>0</v>
      </c>
      <c r="AB655">
        <v>0</v>
      </c>
      <c r="AC655">
        <v>14</v>
      </c>
      <c r="AD655">
        <v>13</v>
      </c>
      <c r="AG655" t="s">
        <v>226</v>
      </c>
      <c r="AH655" t="s">
        <v>435</v>
      </c>
      <c r="AI655">
        <v>315</v>
      </c>
      <c r="AJ655">
        <v>116</v>
      </c>
      <c r="AK655">
        <v>145</v>
      </c>
      <c r="AL655">
        <v>11</v>
      </c>
      <c r="AM655">
        <v>27</v>
      </c>
      <c r="AN655" t="s">
        <v>49</v>
      </c>
      <c r="AO655">
        <v>0.7857142857142857</v>
      </c>
      <c r="AP655">
        <v>180</v>
      </c>
    </row>
    <row r="656" spans="1:42" x14ac:dyDescent="0.35">
      <c r="A656">
        <v>97604</v>
      </c>
      <c r="B656">
        <v>8619</v>
      </c>
      <c r="C656">
        <v>950633</v>
      </c>
      <c r="D656">
        <v>478</v>
      </c>
      <c r="E656" s="147">
        <v>44207</v>
      </c>
      <c r="F656" t="s">
        <v>589</v>
      </c>
      <c r="G656" t="s">
        <v>155</v>
      </c>
      <c r="H656" s="147">
        <v>44211</v>
      </c>
      <c r="I656">
        <v>7</v>
      </c>
      <c r="J656" t="s">
        <v>194</v>
      </c>
      <c r="L656">
        <v>0</v>
      </c>
      <c r="M656">
        <v>0</v>
      </c>
      <c r="U656">
        <v>895</v>
      </c>
      <c r="V656">
        <v>761</v>
      </c>
      <c r="W656">
        <v>0</v>
      </c>
      <c r="X656">
        <v>0</v>
      </c>
      <c r="Y656">
        <v>29</v>
      </c>
      <c r="Z656">
        <v>23</v>
      </c>
      <c r="AA656">
        <v>0</v>
      </c>
      <c r="AB656">
        <v>0</v>
      </c>
      <c r="AC656">
        <v>23</v>
      </c>
      <c r="AD656">
        <v>15</v>
      </c>
      <c r="AG656" t="s">
        <v>226</v>
      </c>
      <c r="AH656" t="s">
        <v>435</v>
      </c>
      <c r="AI656">
        <v>246</v>
      </c>
      <c r="AJ656">
        <v>68</v>
      </c>
      <c r="AK656">
        <v>136</v>
      </c>
      <c r="AL656">
        <v>18</v>
      </c>
      <c r="AM656">
        <v>2</v>
      </c>
      <c r="AN656" t="s">
        <v>49</v>
      </c>
      <c r="AO656">
        <v>0.85027932960893859</v>
      </c>
      <c r="AP656">
        <v>127</v>
      </c>
    </row>
    <row r="657" spans="1:42" x14ac:dyDescent="0.35">
      <c r="A657">
        <v>97605</v>
      </c>
      <c r="B657">
        <v>8619</v>
      </c>
      <c r="C657">
        <v>950634</v>
      </c>
      <c r="D657">
        <v>441</v>
      </c>
      <c r="E657" s="147">
        <v>44207</v>
      </c>
      <c r="F657" t="s">
        <v>590</v>
      </c>
      <c r="G657" t="s">
        <v>158</v>
      </c>
      <c r="H657" s="147">
        <v>44211</v>
      </c>
      <c r="I657">
        <v>7</v>
      </c>
      <c r="J657" t="s">
        <v>194</v>
      </c>
      <c r="L657">
        <v>0</v>
      </c>
      <c r="M657">
        <v>0</v>
      </c>
      <c r="U657">
        <v>2415</v>
      </c>
      <c r="V657">
        <v>2143</v>
      </c>
      <c r="W657">
        <v>0</v>
      </c>
      <c r="X657">
        <v>0</v>
      </c>
      <c r="Y657">
        <v>166</v>
      </c>
      <c r="Z657">
        <v>166</v>
      </c>
      <c r="AA657">
        <v>0</v>
      </c>
      <c r="AB657">
        <v>0</v>
      </c>
      <c r="AC657">
        <v>15</v>
      </c>
      <c r="AD657">
        <v>13</v>
      </c>
      <c r="AG657" t="s">
        <v>226</v>
      </c>
      <c r="AH657" t="s">
        <v>435</v>
      </c>
      <c r="AI657">
        <v>1183</v>
      </c>
      <c r="AJ657">
        <v>410</v>
      </c>
      <c r="AK657">
        <v>406</v>
      </c>
      <c r="AL657">
        <v>64</v>
      </c>
      <c r="AM657">
        <v>54</v>
      </c>
      <c r="AN657" t="s">
        <v>49</v>
      </c>
      <c r="AO657">
        <v>0.88737060041407867</v>
      </c>
      <c r="AP657">
        <v>654</v>
      </c>
    </row>
    <row r="658" spans="1:42" x14ac:dyDescent="0.35">
      <c r="A658">
        <v>97606</v>
      </c>
      <c r="B658">
        <v>8619</v>
      </c>
      <c r="C658">
        <v>950635</v>
      </c>
      <c r="D658">
        <v>389</v>
      </c>
      <c r="E658" s="147">
        <v>44207</v>
      </c>
      <c r="F658" t="s">
        <v>563</v>
      </c>
      <c r="G658" t="s">
        <v>159</v>
      </c>
      <c r="H658" s="147">
        <v>44211</v>
      </c>
      <c r="I658">
        <v>7</v>
      </c>
      <c r="J658" t="s">
        <v>194</v>
      </c>
      <c r="L658">
        <v>0</v>
      </c>
      <c r="M658">
        <v>0</v>
      </c>
      <c r="U658">
        <v>1030</v>
      </c>
      <c r="V658">
        <v>948</v>
      </c>
      <c r="W658">
        <v>0</v>
      </c>
      <c r="X658">
        <v>0</v>
      </c>
      <c r="Y658">
        <v>65</v>
      </c>
      <c r="Z658">
        <v>57</v>
      </c>
      <c r="AA658">
        <v>0</v>
      </c>
      <c r="AB658">
        <v>0</v>
      </c>
      <c r="AC658">
        <v>27</v>
      </c>
      <c r="AD658">
        <v>23</v>
      </c>
      <c r="AG658" t="s">
        <v>226</v>
      </c>
      <c r="AH658" t="s">
        <v>435</v>
      </c>
      <c r="AI658">
        <v>399</v>
      </c>
      <c r="AJ658">
        <v>120</v>
      </c>
      <c r="AK658">
        <v>102</v>
      </c>
      <c r="AL658">
        <v>28</v>
      </c>
      <c r="AM658">
        <v>18</v>
      </c>
      <c r="AN658" t="s">
        <v>49</v>
      </c>
      <c r="AO658">
        <v>0.92038834951456305</v>
      </c>
      <c r="AP658">
        <v>198</v>
      </c>
    </row>
    <row r="659" spans="1:42" x14ac:dyDescent="0.35">
      <c r="A659">
        <v>97610</v>
      </c>
      <c r="B659">
        <v>8619</v>
      </c>
      <c r="C659">
        <v>950639</v>
      </c>
      <c r="D659">
        <v>320</v>
      </c>
      <c r="E659" s="147">
        <v>44207</v>
      </c>
      <c r="F659" t="s">
        <v>515</v>
      </c>
      <c r="G659" t="s">
        <v>163</v>
      </c>
      <c r="H659" s="147">
        <v>44211</v>
      </c>
      <c r="I659">
        <v>7</v>
      </c>
      <c r="J659" t="s">
        <v>194</v>
      </c>
      <c r="L659">
        <v>0</v>
      </c>
      <c r="M659">
        <v>0</v>
      </c>
      <c r="U659">
        <v>653</v>
      </c>
      <c r="V659">
        <v>540</v>
      </c>
      <c r="W659">
        <v>0</v>
      </c>
      <c r="X659">
        <v>0</v>
      </c>
      <c r="Y659">
        <v>28</v>
      </c>
      <c r="Z659">
        <v>23</v>
      </c>
      <c r="AA659">
        <v>0</v>
      </c>
      <c r="AB659">
        <v>0</v>
      </c>
      <c r="AC659">
        <v>3</v>
      </c>
      <c r="AD659">
        <v>3</v>
      </c>
      <c r="AG659" t="s">
        <v>226</v>
      </c>
      <c r="AH659" t="s">
        <v>435</v>
      </c>
      <c r="AI659">
        <v>70</v>
      </c>
      <c r="AJ659">
        <v>18</v>
      </c>
      <c r="AK659">
        <v>113</v>
      </c>
      <c r="AL659">
        <v>8</v>
      </c>
      <c r="AM659">
        <v>7</v>
      </c>
      <c r="AN659" t="s">
        <v>49</v>
      </c>
      <c r="AO659">
        <v>0.82695252679938747</v>
      </c>
      <c r="AP659">
        <v>37</v>
      </c>
    </row>
    <row r="660" spans="1:42" x14ac:dyDescent="0.35">
      <c r="A660">
        <v>97614</v>
      </c>
      <c r="B660">
        <v>8619</v>
      </c>
      <c r="C660">
        <v>950643</v>
      </c>
      <c r="D660">
        <v>354</v>
      </c>
      <c r="E660" s="147">
        <v>44207</v>
      </c>
      <c r="F660" t="s">
        <v>527</v>
      </c>
      <c r="G660" t="s">
        <v>68</v>
      </c>
      <c r="H660" s="147">
        <v>44211</v>
      </c>
      <c r="I660">
        <v>7</v>
      </c>
      <c r="J660" t="s">
        <v>194</v>
      </c>
      <c r="L660">
        <v>0</v>
      </c>
      <c r="M660">
        <v>0</v>
      </c>
      <c r="U660">
        <v>382</v>
      </c>
      <c r="V660">
        <v>323</v>
      </c>
      <c r="W660">
        <v>0</v>
      </c>
      <c r="X660">
        <v>0</v>
      </c>
      <c r="Y660">
        <v>23</v>
      </c>
      <c r="Z660">
        <v>15</v>
      </c>
      <c r="AA660">
        <v>0</v>
      </c>
      <c r="AB660">
        <v>0</v>
      </c>
      <c r="AC660">
        <v>2</v>
      </c>
      <c r="AD660">
        <v>1</v>
      </c>
      <c r="AG660" t="s">
        <v>258</v>
      </c>
      <c r="AH660" t="s">
        <v>435</v>
      </c>
      <c r="AI660">
        <v>121</v>
      </c>
      <c r="AJ660">
        <v>23</v>
      </c>
      <c r="AK660">
        <v>65</v>
      </c>
      <c r="AL660">
        <v>8</v>
      </c>
      <c r="AM660">
        <v>3</v>
      </c>
      <c r="AN660" t="s">
        <v>49</v>
      </c>
      <c r="AO660">
        <v>0.84554973821989532</v>
      </c>
      <c r="AP660">
        <v>54</v>
      </c>
    </row>
    <row r="661" spans="1:42" x14ac:dyDescent="0.35">
      <c r="A661">
        <v>97618</v>
      </c>
      <c r="B661">
        <v>8619</v>
      </c>
      <c r="C661">
        <v>950647</v>
      </c>
      <c r="D661">
        <v>418</v>
      </c>
      <c r="E661" s="147">
        <v>44207</v>
      </c>
      <c r="F661" t="s">
        <v>514</v>
      </c>
      <c r="G661" t="s">
        <v>84</v>
      </c>
      <c r="H661" s="147">
        <v>44211</v>
      </c>
      <c r="I661">
        <v>7</v>
      </c>
      <c r="J661" t="s">
        <v>194</v>
      </c>
      <c r="L661">
        <v>0</v>
      </c>
      <c r="M661">
        <v>0</v>
      </c>
      <c r="U661">
        <v>666</v>
      </c>
      <c r="V661">
        <v>588</v>
      </c>
      <c r="W661">
        <v>0</v>
      </c>
      <c r="X661">
        <v>0</v>
      </c>
      <c r="Y661">
        <v>25</v>
      </c>
      <c r="Z661">
        <v>24</v>
      </c>
      <c r="AA661">
        <v>0</v>
      </c>
      <c r="AB661">
        <v>0</v>
      </c>
      <c r="AC661">
        <v>3</v>
      </c>
      <c r="AD661">
        <v>2</v>
      </c>
      <c r="AG661" t="s">
        <v>258</v>
      </c>
      <c r="AH661" t="s">
        <v>435</v>
      </c>
      <c r="AI661">
        <v>236</v>
      </c>
      <c r="AJ661">
        <v>61</v>
      </c>
      <c r="AK661">
        <v>97</v>
      </c>
      <c r="AL661">
        <v>10</v>
      </c>
      <c r="AM661">
        <v>3</v>
      </c>
      <c r="AN661" t="s">
        <v>49</v>
      </c>
      <c r="AO661">
        <v>0.88288288288288286</v>
      </c>
      <c r="AP661">
        <v>117</v>
      </c>
    </row>
    <row r="662" spans="1:42" x14ac:dyDescent="0.35">
      <c r="A662">
        <v>97629</v>
      </c>
      <c r="B662">
        <v>8619</v>
      </c>
      <c r="C662">
        <v>950658</v>
      </c>
      <c r="D662">
        <v>369</v>
      </c>
      <c r="E662" s="147">
        <v>44207</v>
      </c>
      <c r="F662" t="s">
        <v>574</v>
      </c>
      <c r="G662" t="s">
        <v>137</v>
      </c>
      <c r="H662" s="147">
        <v>44211</v>
      </c>
      <c r="I662">
        <v>7</v>
      </c>
      <c r="J662" t="s">
        <v>194</v>
      </c>
      <c r="L662">
        <v>0</v>
      </c>
      <c r="M662">
        <v>0</v>
      </c>
      <c r="U662">
        <v>1377</v>
      </c>
      <c r="V662">
        <v>1226</v>
      </c>
      <c r="W662">
        <v>0</v>
      </c>
      <c r="X662">
        <v>0</v>
      </c>
      <c r="Y662">
        <v>118</v>
      </c>
      <c r="Z662">
        <v>80</v>
      </c>
      <c r="AA662">
        <v>0</v>
      </c>
      <c r="AB662">
        <v>0</v>
      </c>
      <c r="AC662">
        <v>48</v>
      </c>
      <c r="AD662">
        <v>25</v>
      </c>
      <c r="AG662" t="s">
        <v>258</v>
      </c>
      <c r="AH662" t="s">
        <v>435</v>
      </c>
      <c r="AI662">
        <v>664</v>
      </c>
      <c r="AJ662">
        <v>238</v>
      </c>
      <c r="AK662">
        <v>106</v>
      </c>
      <c r="AL662">
        <v>5</v>
      </c>
      <c r="AM662">
        <v>4</v>
      </c>
      <c r="AN662" t="s">
        <v>49</v>
      </c>
      <c r="AO662">
        <v>0.8903413217138707</v>
      </c>
      <c r="AP662">
        <v>384</v>
      </c>
    </row>
    <row r="663" spans="1:42" x14ac:dyDescent="0.35">
      <c r="A663">
        <v>97630</v>
      </c>
      <c r="B663">
        <v>8619</v>
      </c>
      <c r="C663">
        <v>950659</v>
      </c>
      <c r="D663">
        <v>458</v>
      </c>
      <c r="E663" s="147">
        <v>44207</v>
      </c>
      <c r="F663" t="s">
        <v>539</v>
      </c>
      <c r="G663" t="s">
        <v>140</v>
      </c>
      <c r="H663" s="147">
        <v>44211</v>
      </c>
      <c r="I663">
        <v>7</v>
      </c>
      <c r="J663" t="s">
        <v>194</v>
      </c>
      <c r="L663">
        <v>0</v>
      </c>
      <c r="M663">
        <v>0</v>
      </c>
      <c r="U663">
        <v>782</v>
      </c>
      <c r="V663">
        <v>661</v>
      </c>
      <c r="W663">
        <v>0</v>
      </c>
      <c r="X663">
        <v>0</v>
      </c>
      <c r="Y663">
        <v>70</v>
      </c>
      <c r="Z663">
        <v>61</v>
      </c>
      <c r="AA663">
        <v>0</v>
      </c>
      <c r="AB663">
        <v>0</v>
      </c>
      <c r="AC663">
        <v>15</v>
      </c>
      <c r="AD663">
        <v>5</v>
      </c>
      <c r="AG663" t="s">
        <v>258</v>
      </c>
      <c r="AH663" t="s">
        <v>435</v>
      </c>
      <c r="AI663">
        <v>343</v>
      </c>
      <c r="AJ663">
        <v>124</v>
      </c>
      <c r="AK663">
        <v>71</v>
      </c>
      <c r="AL663">
        <v>5</v>
      </c>
      <c r="AM663">
        <v>3</v>
      </c>
      <c r="AN663" t="s">
        <v>49</v>
      </c>
      <c r="AO663">
        <v>0.84526854219948844</v>
      </c>
      <c r="AP663">
        <v>199</v>
      </c>
    </row>
    <row r="664" spans="1:42" x14ac:dyDescent="0.35">
      <c r="A664">
        <v>97645</v>
      </c>
      <c r="B664">
        <v>8619</v>
      </c>
      <c r="C664">
        <v>950674</v>
      </c>
      <c r="D664">
        <v>476</v>
      </c>
      <c r="E664" s="147">
        <v>44207</v>
      </c>
      <c r="F664" t="s">
        <v>572</v>
      </c>
      <c r="G664" t="s">
        <v>127</v>
      </c>
      <c r="H664" s="147">
        <v>44211</v>
      </c>
      <c r="I664">
        <v>7</v>
      </c>
      <c r="J664" t="s">
        <v>194</v>
      </c>
      <c r="L664">
        <v>0</v>
      </c>
      <c r="M664">
        <v>0</v>
      </c>
      <c r="U664">
        <v>1057</v>
      </c>
      <c r="V664">
        <v>823</v>
      </c>
      <c r="W664">
        <v>0</v>
      </c>
      <c r="X664">
        <v>0</v>
      </c>
      <c r="Y664">
        <v>45</v>
      </c>
      <c r="Z664">
        <v>39</v>
      </c>
      <c r="AA664">
        <v>0</v>
      </c>
      <c r="AB664">
        <v>0</v>
      </c>
      <c r="AC664">
        <v>11</v>
      </c>
      <c r="AD664">
        <v>7</v>
      </c>
      <c r="AG664" t="s">
        <v>255</v>
      </c>
      <c r="AH664" t="s">
        <v>435</v>
      </c>
      <c r="AI664">
        <v>332</v>
      </c>
      <c r="AJ664">
        <v>115</v>
      </c>
      <c r="AK664">
        <v>198</v>
      </c>
      <c r="AL664">
        <v>22</v>
      </c>
      <c r="AM664">
        <v>3</v>
      </c>
      <c r="AN664" t="s">
        <v>49</v>
      </c>
      <c r="AO664">
        <v>0.77861873226111633</v>
      </c>
      <c r="AP664">
        <v>205</v>
      </c>
    </row>
    <row r="665" spans="1:42" x14ac:dyDescent="0.35">
      <c r="A665">
        <v>97649</v>
      </c>
      <c r="B665">
        <v>8619</v>
      </c>
      <c r="C665">
        <v>950678</v>
      </c>
      <c r="D665">
        <v>483</v>
      </c>
      <c r="E665" s="147">
        <v>44207</v>
      </c>
      <c r="F665" t="s">
        <v>568</v>
      </c>
      <c r="G665" t="s">
        <v>145</v>
      </c>
      <c r="H665" s="147">
        <v>44211</v>
      </c>
      <c r="I665">
        <v>7</v>
      </c>
      <c r="J665" t="s">
        <v>194</v>
      </c>
      <c r="L665">
        <v>0</v>
      </c>
      <c r="M665">
        <v>0</v>
      </c>
      <c r="U665">
        <v>560</v>
      </c>
      <c r="V665">
        <v>509</v>
      </c>
      <c r="W665">
        <v>0</v>
      </c>
      <c r="X665">
        <v>0</v>
      </c>
      <c r="Y665">
        <v>18</v>
      </c>
      <c r="Z665">
        <v>16</v>
      </c>
      <c r="AA665">
        <v>0</v>
      </c>
      <c r="AB665">
        <v>0</v>
      </c>
      <c r="AC665">
        <v>5</v>
      </c>
      <c r="AD665">
        <v>1</v>
      </c>
      <c r="AG665" t="s">
        <v>255</v>
      </c>
      <c r="AH665" t="s">
        <v>435</v>
      </c>
      <c r="AI665">
        <v>289</v>
      </c>
      <c r="AJ665">
        <v>113</v>
      </c>
      <c r="AK665">
        <v>76</v>
      </c>
      <c r="AL665">
        <v>7</v>
      </c>
      <c r="AM665">
        <v>1</v>
      </c>
      <c r="AN665" t="s">
        <v>49</v>
      </c>
      <c r="AO665">
        <v>0.90892857142857142</v>
      </c>
      <c r="AP665">
        <v>180</v>
      </c>
    </row>
    <row r="666" spans="1:42" x14ac:dyDescent="0.35">
      <c r="A666">
        <v>97653</v>
      </c>
      <c r="B666">
        <v>8619</v>
      </c>
      <c r="C666">
        <v>950682</v>
      </c>
      <c r="D666">
        <v>321</v>
      </c>
      <c r="E666" s="147">
        <v>44207</v>
      </c>
      <c r="F666" t="s">
        <v>591</v>
      </c>
      <c r="G666" t="s">
        <v>168</v>
      </c>
      <c r="H666" s="147">
        <v>44211</v>
      </c>
      <c r="I666">
        <v>7</v>
      </c>
      <c r="J666" t="s">
        <v>194</v>
      </c>
      <c r="L666">
        <v>0</v>
      </c>
      <c r="M666">
        <v>0</v>
      </c>
      <c r="U666">
        <v>669</v>
      </c>
      <c r="V666">
        <v>625</v>
      </c>
      <c r="W666">
        <v>0</v>
      </c>
      <c r="X666">
        <v>0</v>
      </c>
      <c r="Y666">
        <v>18</v>
      </c>
      <c r="Z666">
        <v>17</v>
      </c>
      <c r="AA666">
        <v>0</v>
      </c>
      <c r="AB666">
        <v>0</v>
      </c>
      <c r="AC666">
        <v>7</v>
      </c>
      <c r="AD666">
        <v>2</v>
      </c>
      <c r="AG666" t="s">
        <v>255</v>
      </c>
      <c r="AH666" t="s">
        <v>435</v>
      </c>
      <c r="AI666">
        <v>293</v>
      </c>
      <c r="AJ666">
        <v>112</v>
      </c>
      <c r="AK666">
        <v>81</v>
      </c>
      <c r="AL666">
        <v>10</v>
      </c>
      <c r="AM666">
        <v>9</v>
      </c>
      <c r="AN666" t="s">
        <v>49</v>
      </c>
      <c r="AO666">
        <v>0.93423019431988041</v>
      </c>
      <c r="AP666">
        <v>175</v>
      </c>
    </row>
    <row r="667" spans="1:42" x14ac:dyDescent="0.35">
      <c r="A667">
        <v>97656</v>
      </c>
      <c r="B667">
        <v>8619</v>
      </c>
      <c r="C667">
        <v>950685</v>
      </c>
      <c r="D667">
        <v>506</v>
      </c>
      <c r="E667" s="147">
        <v>44207</v>
      </c>
      <c r="F667" t="s">
        <v>580</v>
      </c>
      <c r="G667" t="s">
        <v>74</v>
      </c>
      <c r="H667" s="147">
        <v>44211</v>
      </c>
      <c r="I667">
        <v>7</v>
      </c>
      <c r="J667" t="s">
        <v>194</v>
      </c>
      <c r="L667">
        <v>0</v>
      </c>
      <c r="M667">
        <v>0</v>
      </c>
      <c r="U667">
        <v>750</v>
      </c>
      <c r="V667">
        <v>627</v>
      </c>
      <c r="W667">
        <v>0</v>
      </c>
      <c r="X667">
        <v>0</v>
      </c>
      <c r="Y667">
        <v>78</v>
      </c>
      <c r="Z667">
        <v>73</v>
      </c>
      <c r="AA667">
        <v>0</v>
      </c>
      <c r="AB667">
        <v>0</v>
      </c>
      <c r="AC667">
        <v>39</v>
      </c>
      <c r="AD667">
        <v>21</v>
      </c>
      <c r="AG667" t="s">
        <v>223</v>
      </c>
      <c r="AH667" t="s">
        <v>435</v>
      </c>
      <c r="AI667">
        <v>381</v>
      </c>
      <c r="AJ667">
        <v>143</v>
      </c>
      <c r="AK667">
        <v>108</v>
      </c>
      <c r="AL667">
        <v>25</v>
      </c>
      <c r="AM667">
        <v>5</v>
      </c>
      <c r="AN667" t="s">
        <v>49</v>
      </c>
      <c r="AO667">
        <v>0.83599999999999997</v>
      </c>
      <c r="AP667">
        <v>217</v>
      </c>
    </row>
    <row r="668" spans="1:42" x14ac:dyDescent="0.35">
      <c r="A668">
        <v>97657</v>
      </c>
      <c r="B668">
        <v>8619</v>
      </c>
      <c r="C668">
        <v>950686</v>
      </c>
      <c r="D668">
        <v>512</v>
      </c>
      <c r="E668" s="147">
        <v>44207</v>
      </c>
      <c r="F668" t="s">
        <v>523</v>
      </c>
      <c r="G668" t="s">
        <v>75</v>
      </c>
      <c r="H668" s="147">
        <v>44211</v>
      </c>
      <c r="I668">
        <v>7</v>
      </c>
      <c r="J668" t="s">
        <v>194</v>
      </c>
      <c r="L668">
        <v>0</v>
      </c>
      <c r="M668">
        <v>0</v>
      </c>
      <c r="U668">
        <v>369</v>
      </c>
      <c r="V668">
        <v>359</v>
      </c>
      <c r="W668">
        <v>0</v>
      </c>
      <c r="X668">
        <v>0</v>
      </c>
      <c r="Y668">
        <v>24</v>
      </c>
      <c r="Z668">
        <v>24</v>
      </c>
      <c r="AA668">
        <v>0</v>
      </c>
      <c r="AB668">
        <v>0</v>
      </c>
      <c r="AC668">
        <v>7</v>
      </c>
      <c r="AD668">
        <v>7</v>
      </c>
      <c r="AG668" t="s">
        <v>223</v>
      </c>
      <c r="AH668" t="s">
        <v>435</v>
      </c>
      <c r="AI668">
        <v>125</v>
      </c>
      <c r="AJ668">
        <v>45</v>
      </c>
      <c r="AK668">
        <v>58</v>
      </c>
      <c r="AL668">
        <v>2</v>
      </c>
      <c r="AM668">
        <v>2</v>
      </c>
      <c r="AN668" t="s">
        <v>49</v>
      </c>
      <c r="AO668">
        <v>0.97289972899728994</v>
      </c>
      <c r="AP668">
        <v>75</v>
      </c>
    </row>
    <row r="669" spans="1:42" x14ac:dyDescent="0.35">
      <c r="A669">
        <v>97659</v>
      </c>
      <c r="B669">
        <v>8619</v>
      </c>
      <c r="C669">
        <v>950688</v>
      </c>
      <c r="D669">
        <v>469</v>
      </c>
      <c r="E669" s="147">
        <v>44207</v>
      </c>
      <c r="F669" t="s">
        <v>559</v>
      </c>
      <c r="G669" t="s">
        <v>88</v>
      </c>
      <c r="H669" s="147">
        <v>44211</v>
      </c>
      <c r="I669">
        <v>7</v>
      </c>
      <c r="J669" t="s">
        <v>194</v>
      </c>
      <c r="L669">
        <v>0</v>
      </c>
      <c r="M669">
        <v>0</v>
      </c>
      <c r="U669">
        <v>948</v>
      </c>
      <c r="V669">
        <v>832</v>
      </c>
      <c r="W669">
        <v>0</v>
      </c>
      <c r="X669">
        <v>0</v>
      </c>
      <c r="Y669">
        <v>49</v>
      </c>
      <c r="Z669">
        <v>37</v>
      </c>
      <c r="AA669">
        <v>0</v>
      </c>
      <c r="AB669">
        <v>0</v>
      </c>
      <c r="AC669">
        <v>39</v>
      </c>
      <c r="AD669">
        <v>19</v>
      </c>
      <c r="AG669" t="s">
        <v>223</v>
      </c>
      <c r="AH669" t="s">
        <v>435</v>
      </c>
      <c r="AI669">
        <v>374</v>
      </c>
      <c r="AJ669">
        <v>99</v>
      </c>
      <c r="AK669">
        <v>146</v>
      </c>
      <c r="AL669">
        <v>17</v>
      </c>
      <c r="AM669">
        <v>6</v>
      </c>
      <c r="AN669" t="s">
        <v>49</v>
      </c>
      <c r="AO669">
        <v>0.87763713080168781</v>
      </c>
      <c r="AP669">
        <v>176</v>
      </c>
    </row>
    <row r="670" spans="1:42" x14ac:dyDescent="0.35">
      <c r="A670">
        <v>97660</v>
      </c>
      <c r="B670">
        <v>8619</v>
      </c>
      <c r="C670">
        <v>950689</v>
      </c>
      <c r="D670">
        <v>502</v>
      </c>
      <c r="E670" s="147">
        <v>44207</v>
      </c>
      <c r="F670" t="s">
        <v>592</v>
      </c>
      <c r="G670" t="s">
        <v>90</v>
      </c>
      <c r="H670" s="147">
        <v>44211</v>
      </c>
      <c r="I670">
        <v>7</v>
      </c>
      <c r="J670" t="s">
        <v>194</v>
      </c>
      <c r="L670">
        <v>0</v>
      </c>
      <c r="M670">
        <v>0</v>
      </c>
      <c r="U670">
        <v>747</v>
      </c>
      <c r="V670">
        <v>684</v>
      </c>
      <c r="W670">
        <v>0</v>
      </c>
      <c r="X670">
        <v>0</v>
      </c>
      <c r="Y670">
        <v>30</v>
      </c>
      <c r="Z670">
        <v>29</v>
      </c>
      <c r="AA670">
        <v>0</v>
      </c>
      <c r="AB670">
        <v>0</v>
      </c>
      <c r="AC670">
        <v>12</v>
      </c>
      <c r="AD670">
        <v>3</v>
      </c>
      <c r="AG670" t="s">
        <v>223</v>
      </c>
      <c r="AH670" t="s">
        <v>435</v>
      </c>
      <c r="AI670">
        <v>345</v>
      </c>
      <c r="AJ670">
        <v>122</v>
      </c>
      <c r="AK670">
        <v>89</v>
      </c>
      <c r="AL670">
        <v>18</v>
      </c>
      <c r="AM670">
        <v>21</v>
      </c>
      <c r="AN670" t="s">
        <v>49</v>
      </c>
      <c r="AO670">
        <v>0.91566265060240959</v>
      </c>
      <c r="AP670">
        <v>190</v>
      </c>
    </row>
    <row r="671" spans="1:42" x14ac:dyDescent="0.35">
      <c r="A671">
        <v>97665</v>
      </c>
      <c r="B671">
        <v>8619</v>
      </c>
      <c r="C671">
        <v>950694</v>
      </c>
      <c r="D671">
        <v>421</v>
      </c>
      <c r="E671" s="147">
        <v>44207</v>
      </c>
      <c r="F671" t="s">
        <v>593</v>
      </c>
      <c r="G671" t="s">
        <v>112</v>
      </c>
      <c r="H671" s="147">
        <v>44211</v>
      </c>
      <c r="I671">
        <v>7</v>
      </c>
      <c r="J671" t="s">
        <v>194</v>
      </c>
      <c r="L671">
        <v>0</v>
      </c>
      <c r="M671">
        <v>0</v>
      </c>
      <c r="U671">
        <v>464</v>
      </c>
      <c r="V671">
        <v>408</v>
      </c>
      <c r="W671">
        <v>0</v>
      </c>
      <c r="X671">
        <v>0</v>
      </c>
      <c r="Y671">
        <v>34</v>
      </c>
      <c r="Z671">
        <v>33</v>
      </c>
      <c r="AA671">
        <v>0</v>
      </c>
      <c r="AB671">
        <v>0</v>
      </c>
      <c r="AC671">
        <v>20</v>
      </c>
      <c r="AD671">
        <v>8</v>
      </c>
      <c r="AG671" t="s">
        <v>223</v>
      </c>
      <c r="AH671" t="s">
        <v>435</v>
      </c>
      <c r="AI671">
        <v>192</v>
      </c>
      <c r="AJ671">
        <v>40</v>
      </c>
      <c r="AK671">
        <v>91</v>
      </c>
      <c r="AL671">
        <v>18</v>
      </c>
      <c r="AM671">
        <v>16</v>
      </c>
      <c r="AN671" t="s">
        <v>49</v>
      </c>
      <c r="AO671">
        <v>0.87931034482758619</v>
      </c>
      <c r="AP671">
        <v>88</v>
      </c>
    </row>
    <row r="672" spans="1:42" x14ac:dyDescent="0.35">
      <c r="A672">
        <v>97674</v>
      </c>
      <c r="B672">
        <v>8619</v>
      </c>
      <c r="C672">
        <v>950703</v>
      </c>
      <c r="D672">
        <v>451</v>
      </c>
      <c r="E672" s="147">
        <v>44207</v>
      </c>
      <c r="F672" t="s">
        <v>594</v>
      </c>
      <c r="G672" t="s">
        <v>95</v>
      </c>
      <c r="H672" s="147">
        <v>44211</v>
      </c>
      <c r="I672">
        <v>7</v>
      </c>
      <c r="J672" t="s">
        <v>194</v>
      </c>
      <c r="L672">
        <v>0</v>
      </c>
      <c r="M672">
        <v>0</v>
      </c>
      <c r="U672">
        <v>783</v>
      </c>
      <c r="V672">
        <v>725</v>
      </c>
      <c r="W672">
        <v>0</v>
      </c>
      <c r="X672">
        <v>0</v>
      </c>
      <c r="Y672">
        <v>26</v>
      </c>
      <c r="Z672">
        <v>21</v>
      </c>
      <c r="AA672">
        <v>0</v>
      </c>
      <c r="AB672">
        <v>0</v>
      </c>
      <c r="AC672">
        <v>12</v>
      </c>
      <c r="AD672">
        <v>6</v>
      </c>
      <c r="AG672" t="s">
        <v>224</v>
      </c>
      <c r="AH672" t="s">
        <v>435</v>
      </c>
      <c r="AI672">
        <v>378</v>
      </c>
      <c r="AJ672">
        <v>131</v>
      </c>
      <c r="AK672">
        <v>115</v>
      </c>
      <c r="AL672">
        <v>20</v>
      </c>
      <c r="AM672">
        <v>46</v>
      </c>
      <c r="AN672" t="s">
        <v>49</v>
      </c>
      <c r="AO672">
        <v>0.92592592592592593</v>
      </c>
      <c r="AP672">
        <v>225</v>
      </c>
    </row>
    <row r="673" spans="1:42" x14ac:dyDescent="0.35">
      <c r="A673">
        <v>97675</v>
      </c>
      <c r="B673">
        <v>8619</v>
      </c>
      <c r="C673">
        <v>950704</v>
      </c>
      <c r="D673">
        <v>405</v>
      </c>
      <c r="E673" s="147">
        <v>44207</v>
      </c>
      <c r="F673" t="s">
        <v>557</v>
      </c>
      <c r="G673" t="s">
        <v>96</v>
      </c>
      <c r="H673" s="147">
        <v>44211</v>
      </c>
      <c r="I673">
        <v>7</v>
      </c>
      <c r="J673" t="s">
        <v>194</v>
      </c>
      <c r="L673">
        <v>0</v>
      </c>
      <c r="M673">
        <v>0</v>
      </c>
      <c r="U673">
        <v>530</v>
      </c>
      <c r="V673">
        <v>472</v>
      </c>
      <c r="W673">
        <v>0</v>
      </c>
      <c r="X673">
        <v>0</v>
      </c>
      <c r="Y673">
        <v>25</v>
      </c>
      <c r="Z673">
        <v>15</v>
      </c>
      <c r="AA673">
        <v>0</v>
      </c>
      <c r="AB673">
        <v>0</v>
      </c>
      <c r="AC673">
        <v>10</v>
      </c>
      <c r="AD673">
        <v>5</v>
      </c>
      <c r="AG673" t="s">
        <v>224</v>
      </c>
      <c r="AH673" t="s">
        <v>435</v>
      </c>
      <c r="AI673">
        <v>209</v>
      </c>
      <c r="AJ673">
        <v>59</v>
      </c>
      <c r="AK673">
        <v>45</v>
      </c>
      <c r="AL673">
        <v>5</v>
      </c>
      <c r="AM673">
        <v>3</v>
      </c>
      <c r="AN673" t="s">
        <v>49</v>
      </c>
      <c r="AO673">
        <v>0.89056603773584908</v>
      </c>
      <c r="AP673">
        <v>102</v>
      </c>
    </row>
    <row r="674" spans="1:42" x14ac:dyDescent="0.35">
      <c r="A674">
        <v>97678</v>
      </c>
      <c r="B674">
        <v>8619</v>
      </c>
      <c r="C674">
        <v>950707</v>
      </c>
      <c r="D674">
        <v>348</v>
      </c>
      <c r="E674" s="147">
        <v>44207</v>
      </c>
      <c r="F674" t="s">
        <v>558</v>
      </c>
      <c r="G674" t="s">
        <v>129</v>
      </c>
      <c r="H674" s="147">
        <v>44211</v>
      </c>
      <c r="I674">
        <v>7</v>
      </c>
      <c r="J674" t="s">
        <v>194</v>
      </c>
      <c r="L674">
        <v>0</v>
      </c>
      <c r="M674">
        <v>0</v>
      </c>
      <c r="U674">
        <v>557</v>
      </c>
      <c r="V674">
        <v>496</v>
      </c>
      <c r="W674">
        <v>0</v>
      </c>
      <c r="X674">
        <v>0</v>
      </c>
      <c r="Y674">
        <v>15</v>
      </c>
      <c r="Z674">
        <v>15</v>
      </c>
      <c r="AA674">
        <v>0</v>
      </c>
      <c r="AB674">
        <v>0</v>
      </c>
      <c r="AC674">
        <v>7</v>
      </c>
      <c r="AD674">
        <v>4</v>
      </c>
      <c r="AG674" t="s">
        <v>224</v>
      </c>
      <c r="AH674" t="s">
        <v>435</v>
      </c>
      <c r="AI674">
        <v>234</v>
      </c>
      <c r="AJ674">
        <v>71</v>
      </c>
      <c r="AK674">
        <v>91</v>
      </c>
      <c r="AL674">
        <v>5</v>
      </c>
      <c r="AM674">
        <v>4</v>
      </c>
      <c r="AN674" t="s">
        <v>49</v>
      </c>
      <c r="AO674">
        <v>0.89048473967684016</v>
      </c>
      <c r="AP674">
        <v>121</v>
      </c>
    </row>
    <row r="675" spans="1:42" x14ac:dyDescent="0.35">
      <c r="A675">
        <v>97680</v>
      </c>
      <c r="B675">
        <v>8619</v>
      </c>
      <c r="C675">
        <v>950709</v>
      </c>
      <c r="D675">
        <v>337</v>
      </c>
      <c r="E675" s="147">
        <v>44207</v>
      </c>
      <c r="F675" t="s">
        <v>595</v>
      </c>
      <c r="G675" t="s">
        <v>132</v>
      </c>
      <c r="H675" s="147">
        <v>44211</v>
      </c>
      <c r="I675">
        <v>7</v>
      </c>
      <c r="J675" t="s">
        <v>194</v>
      </c>
      <c r="L675">
        <v>0</v>
      </c>
      <c r="M675">
        <v>0</v>
      </c>
      <c r="U675">
        <v>541</v>
      </c>
      <c r="V675">
        <v>453</v>
      </c>
      <c r="W675">
        <v>0</v>
      </c>
      <c r="X675">
        <v>0</v>
      </c>
      <c r="Y675">
        <v>18</v>
      </c>
      <c r="Z675">
        <v>18</v>
      </c>
      <c r="AA675">
        <v>0</v>
      </c>
      <c r="AB675">
        <v>0</v>
      </c>
      <c r="AC675">
        <v>7</v>
      </c>
      <c r="AD675">
        <v>3</v>
      </c>
      <c r="AG675" t="s">
        <v>224</v>
      </c>
      <c r="AH675" t="s">
        <v>435</v>
      </c>
      <c r="AI675">
        <v>244</v>
      </c>
      <c r="AJ675">
        <v>70</v>
      </c>
      <c r="AK675">
        <v>70</v>
      </c>
      <c r="AL675">
        <v>5</v>
      </c>
      <c r="AM675">
        <v>6</v>
      </c>
      <c r="AN675" t="s">
        <v>49</v>
      </c>
      <c r="AO675">
        <v>0.83733826247689469</v>
      </c>
      <c r="AP675">
        <v>127</v>
      </c>
    </row>
    <row r="676" spans="1:42" x14ac:dyDescent="0.35">
      <c r="A676">
        <v>97685</v>
      </c>
      <c r="B676">
        <v>8619</v>
      </c>
      <c r="C676">
        <v>950714</v>
      </c>
      <c r="D676">
        <v>25513</v>
      </c>
      <c r="E676" s="147">
        <v>44207</v>
      </c>
      <c r="F676" t="s">
        <v>596</v>
      </c>
      <c r="G676" t="s">
        <v>437</v>
      </c>
      <c r="H676" s="147">
        <v>44211</v>
      </c>
      <c r="I676">
        <v>7</v>
      </c>
      <c r="J676" t="s">
        <v>194</v>
      </c>
      <c r="L676">
        <v>0</v>
      </c>
      <c r="M676">
        <v>0</v>
      </c>
      <c r="U676">
        <v>1053</v>
      </c>
      <c r="V676">
        <v>915</v>
      </c>
      <c r="W676">
        <v>0</v>
      </c>
      <c r="X676">
        <v>0</v>
      </c>
      <c r="Y676">
        <v>43</v>
      </c>
      <c r="Z676">
        <v>43</v>
      </c>
      <c r="AA676">
        <v>0</v>
      </c>
      <c r="AB676">
        <v>0</v>
      </c>
      <c r="AC676">
        <v>20</v>
      </c>
      <c r="AD676">
        <v>13</v>
      </c>
      <c r="AG676" t="s">
        <v>224</v>
      </c>
      <c r="AH676" t="s">
        <v>435</v>
      </c>
      <c r="AI676">
        <v>469</v>
      </c>
      <c r="AJ676">
        <v>146</v>
      </c>
      <c r="AK676">
        <v>116</v>
      </c>
      <c r="AL676">
        <v>14</v>
      </c>
      <c r="AM676">
        <v>4</v>
      </c>
      <c r="AN676" t="s">
        <v>49</v>
      </c>
      <c r="AO676">
        <v>0.86894586894586889</v>
      </c>
      <c r="AP676">
        <v>264</v>
      </c>
    </row>
    <row r="677" spans="1:42" x14ac:dyDescent="0.35">
      <c r="A677">
        <v>97686</v>
      </c>
      <c r="B677">
        <v>8619</v>
      </c>
      <c r="C677">
        <v>950715</v>
      </c>
      <c r="D677">
        <v>388</v>
      </c>
      <c r="E677" s="147">
        <v>44207</v>
      </c>
      <c r="F677" t="s">
        <v>554</v>
      </c>
      <c r="G677" t="s">
        <v>222</v>
      </c>
      <c r="H677" s="147">
        <v>44211</v>
      </c>
      <c r="I677">
        <v>7</v>
      </c>
      <c r="J677" t="s">
        <v>194</v>
      </c>
      <c r="L677">
        <v>0</v>
      </c>
      <c r="M677">
        <v>0</v>
      </c>
      <c r="U677">
        <v>846</v>
      </c>
      <c r="V677">
        <v>749</v>
      </c>
      <c r="W677">
        <v>0</v>
      </c>
      <c r="X677">
        <v>0</v>
      </c>
      <c r="Y677">
        <v>44</v>
      </c>
      <c r="Z677">
        <v>34</v>
      </c>
      <c r="AA677">
        <v>0</v>
      </c>
      <c r="AB677">
        <v>0</v>
      </c>
      <c r="AC677">
        <v>15</v>
      </c>
      <c r="AD677">
        <v>15</v>
      </c>
      <c r="AG677" t="s">
        <v>224</v>
      </c>
      <c r="AH677" t="s">
        <v>435</v>
      </c>
      <c r="AI677">
        <v>351</v>
      </c>
      <c r="AJ677">
        <v>95</v>
      </c>
      <c r="AK677">
        <v>127</v>
      </c>
      <c r="AL677">
        <v>40</v>
      </c>
      <c r="AM677">
        <v>20</v>
      </c>
      <c r="AN677" t="s">
        <v>49</v>
      </c>
      <c r="AO677">
        <v>0.88534278959810875</v>
      </c>
      <c r="AP677">
        <v>176</v>
      </c>
    </row>
    <row r="678" spans="1:42" x14ac:dyDescent="0.35">
      <c r="A678">
        <v>97688</v>
      </c>
      <c r="B678">
        <v>8619</v>
      </c>
      <c r="C678">
        <v>950717</v>
      </c>
      <c r="D678">
        <v>330</v>
      </c>
      <c r="E678" s="147">
        <v>44207</v>
      </c>
      <c r="F678" t="s">
        <v>555</v>
      </c>
      <c r="G678" t="s">
        <v>307</v>
      </c>
      <c r="H678" s="147">
        <v>44212</v>
      </c>
      <c r="I678">
        <v>7</v>
      </c>
      <c r="J678" t="s">
        <v>196</v>
      </c>
      <c r="L678">
        <v>0</v>
      </c>
      <c r="M678">
        <v>0</v>
      </c>
      <c r="U678">
        <v>1027</v>
      </c>
      <c r="V678">
        <v>907</v>
      </c>
      <c r="W678">
        <v>0</v>
      </c>
      <c r="X678">
        <v>0</v>
      </c>
      <c r="Y678">
        <v>39</v>
      </c>
      <c r="Z678">
        <v>39</v>
      </c>
      <c r="AA678">
        <v>0</v>
      </c>
      <c r="AB678">
        <v>0</v>
      </c>
      <c r="AC678">
        <v>22</v>
      </c>
      <c r="AD678">
        <v>11</v>
      </c>
      <c r="AG678" t="s">
        <v>291</v>
      </c>
      <c r="AH678" t="s">
        <v>435</v>
      </c>
      <c r="AI678">
        <v>385</v>
      </c>
      <c r="AJ678">
        <v>119</v>
      </c>
      <c r="AK678">
        <v>140</v>
      </c>
      <c r="AL678">
        <v>6</v>
      </c>
      <c r="AM678">
        <v>2</v>
      </c>
      <c r="AN678" t="s">
        <v>49</v>
      </c>
      <c r="AO678">
        <v>0.88315481986368061</v>
      </c>
      <c r="AP678">
        <v>201</v>
      </c>
    </row>
    <row r="679" spans="1:42" x14ac:dyDescent="0.35">
      <c r="A679">
        <v>97691</v>
      </c>
      <c r="B679">
        <v>8619</v>
      </c>
      <c r="C679">
        <v>950720</v>
      </c>
      <c r="D679">
        <v>342</v>
      </c>
      <c r="E679" s="147">
        <v>44207</v>
      </c>
      <c r="F679" t="s">
        <v>583</v>
      </c>
      <c r="G679" t="s">
        <v>259</v>
      </c>
      <c r="H679" s="147">
        <v>44212</v>
      </c>
      <c r="I679">
        <v>7</v>
      </c>
      <c r="J679" t="s">
        <v>196</v>
      </c>
      <c r="L679">
        <v>0</v>
      </c>
      <c r="M679">
        <v>0</v>
      </c>
      <c r="U679">
        <v>1083</v>
      </c>
      <c r="V679">
        <v>878</v>
      </c>
      <c r="W679">
        <v>0</v>
      </c>
      <c r="X679">
        <v>0</v>
      </c>
      <c r="Y679">
        <v>49</v>
      </c>
      <c r="Z679">
        <v>49</v>
      </c>
      <c r="AA679">
        <v>0</v>
      </c>
      <c r="AB679">
        <v>0</v>
      </c>
      <c r="AC679">
        <v>10</v>
      </c>
      <c r="AD679">
        <v>4</v>
      </c>
      <c r="AG679" t="s">
        <v>291</v>
      </c>
      <c r="AH679" t="s">
        <v>435</v>
      </c>
      <c r="AI679">
        <v>399</v>
      </c>
      <c r="AJ679">
        <v>93</v>
      </c>
      <c r="AK679">
        <v>177</v>
      </c>
      <c r="AL679">
        <v>21</v>
      </c>
      <c r="AM679">
        <v>8</v>
      </c>
      <c r="AN679" t="s">
        <v>49</v>
      </c>
      <c r="AO679">
        <v>0.81071098799630659</v>
      </c>
      <c r="AP679">
        <v>178</v>
      </c>
    </row>
    <row r="680" spans="1:42" x14ac:dyDescent="0.35">
      <c r="A680">
        <v>97695</v>
      </c>
      <c r="B680">
        <v>8619</v>
      </c>
      <c r="C680">
        <v>950724</v>
      </c>
      <c r="D680">
        <v>399</v>
      </c>
      <c r="E680" s="147">
        <v>44207</v>
      </c>
      <c r="F680" t="s">
        <v>584</v>
      </c>
      <c r="G680" t="s">
        <v>116</v>
      </c>
      <c r="H680" s="147">
        <v>44212</v>
      </c>
      <c r="I680">
        <v>7</v>
      </c>
      <c r="J680" t="s">
        <v>196</v>
      </c>
      <c r="L680">
        <v>0</v>
      </c>
      <c r="M680">
        <v>0</v>
      </c>
      <c r="U680">
        <v>883</v>
      </c>
      <c r="V680">
        <v>775</v>
      </c>
      <c r="W680">
        <v>0</v>
      </c>
      <c r="X680">
        <v>0</v>
      </c>
      <c r="Y680">
        <v>68</v>
      </c>
      <c r="Z680">
        <v>52</v>
      </c>
      <c r="AA680">
        <v>0</v>
      </c>
      <c r="AB680">
        <v>0</v>
      </c>
      <c r="AC680">
        <v>15</v>
      </c>
      <c r="AD680">
        <v>9</v>
      </c>
      <c r="AG680" t="s">
        <v>291</v>
      </c>
      <c r="AH680" t="s">
        <v>435</v>
      </c>
      <c r="AI680">
        <v>367</v>
      </c>
      <c r="AJ680">
        <v>95</v>
      </c>
      <c r="AK680">
        <v>143</v>
      </c>
      <c r="AL680">
        <v>32</v>
      </c>
      <c r="AM680">
        <v>18</v>
      </c>
      <c r="AN680" t="s">
        <v>49</v>
      </c>
      <c r="AO680">
        <v>0.87768969422423559</v>
      </c>
      <c r="AP680">
        <v>190</v>
      </c>
    </row>
    <row r="681" spans="1:42" x14ac:dyDescent="0.35">
      <c r="A681">
        <v>97696</v>
      </c>
      <c r="B681">
        <v>8619</v>
      </c>
      <c r="C681">
        <v>950725</v>
      </c>
      <c r="D681">
        <v>360</v>
      </c>
      <c r="E681" s="147">
        <v>44207</v>
      </c>
      <c r="F681" t="s">
        <v>585</v>
      </c>
      <c r="G681" t="s">
        <v>120</v>
      </c>
      <c r="H681" s="147">
        <v>44212</v>
      </c>
      <c r="I681">
        <v>7</v>
      </c>
      <c r="J681" t="s">
        <v>196</v>
      </c>
      <c r="L681">
        <v>0</v>
      </c>
      <c r="M681">
        <v>0</v>
      </c>
      <c r="U681">
        <v>844</v>
      </c>
      <c r="V681">
        <v>744</v>
      </c>
      <c r="W681">
        <v>0</v>
      </c>
      <c r="X681">
        <v>0</v>
      </c>
      <c r="Y681">
        <v>21</v>
      </c>
      <c r="Z681">
        <v>20</v>
      </c>
      <c r="AA681">
        <v>0</v>
      </c>
      <c r="AB681">
        <v>0</v>
      </c>
      <c r="AC681">
        <v>3</v>
      </c>
      <c r="AD681">
        <v>2</v>
      </c>
      <c r="AG681" t="s">
        <v>291</v>
      </c>
      <c r="AH681" t="s">
        <v>435</v>
      </c>
      <c r="AI681">
        <v>343</v>
      </c>
      <c r="AJ681">
        <v>104</v>
      </c>
      <c r="AK681">
        <v>128</v>
      </c>
      <c r="AL681">
        <v>20</v>
      </c>
      <c r="AM681">
        <v>11</v>
      </c>
      <c r="AN681" t="s">
        <v>49</v>
      </c>
      <c r="AO681">
        <v>0.88151658767772512</v>
      </c>
      <c r="AP681">
        <v>183</v>
      </c>
    </row>
    <row r="682" spans="1:42" x14ac:dyDescent="0.35">
      <c r="A682">
        <v>97697</v>
      </c>
      <c r="B682">
        <v>8619</v>
      </c>
      <c r="C682">
        <v>950726</v>
      </c>
      <c r="D682">
        <v>431</v>
      </c>
      <c r="E682" s="147">
        <v>44207</v>
      </c>
      <c r="F682" t="s">
        <v>586</v>
      </c>
      <c r="G682" t="s">
        <v>151</v>
      </c>
      <c r="H682" s="147">
        <v>44212</v>
      </c>
      <c r="I682">
        <v>7</v>
      </c>
      <c r="J682" t="s">
        <v>196</v>
      </c>
      <c r="L682">
        <v>0</v>
      </c>
      <c r="M682">
        <v>0</v>
      </c>
      <c r="U682">
        <v>362</v>
      </c>
      <c r="V682">
        <v>323</v>
      </c>
      <c r="W682">
        <v>0</v>
      </c>
      <c r="X682">
        <v>0</v>
      </c>
      <c r="Y682">
        <v>20</v>
      </c>
      <c r="Z682">
        <v>18</v>
      </c>
      <c r="AA682">
        <v>0</v>
      </c>
      <c r="AB682">
        <v>0</v>
      </c>
      <c r="AC682">
        <v>6</v>
      </c>
      <c r="AD682">
        <v>6</v>
      </c>
      <c r="AG682" t="s">
        <v>291</v>
      </c>
      <c r="AH682" t="s">
        <v>435</v>
      </c>
      <c r="AI682">
        <v>116</v>
      </c>
      <c r="AJ682">
        <v>28</v>
      </c>
      <c r="AK682">
        <v>54</v>
      </c>
      <c r="AL682">
        <v>19</v>
      </c>
      <c r="AM682">
        <v>11</v>
      </c>
      <c r="AN682" t="s">
        <v>49</v>
      </c>
      <c r="AO682">
        <v>0.89226519337016574</v>
      </c>
      <c r="AP682">
        <v>55</v>
      </c>
    </row>
    <row r="683" spans="1:42" x14ac:dyDescent="0.35">
      <c r="A683">
        <v>97701</v>
      </c>
      <c r="B683">
        <v>8619</v>
      </c>
      <c r="C683">
        <v>950730</v>
      </c>
      <c r="D683">
        <v>353</v>
      </c>
      <c r="E683" s="147">
        <v>44207</v>
      </c>
      <c r="F683" t="s">
        <v>548</v>
      </c>
      <c r="G683" t="s">
        <v>67</v>
      </c>
      <c r="H683" s="147">
        <v>44212</v>
      </c>
      <c r="I683">
        <v>7</v>
      </c>
      <c r="J683" t="s">
        <v>196</v>
      </c>
      <c r="L683">
        <v>0</v>
      </c>
      <c r="M683">
        <v>0</v>
      </c>
      <c r="U683">
        <v>926</v>
      </c>
      <c r="V683">
        <v>803</v>
      </c>
      <c r="W683">
        <v>0</v>
      </c>
      <c r="X683">
        <v>0</v>
      </c>
      <c r="Y683">
        <v>79</v>
      </c>
      <c r="Z683">
        <v>75</v>
      </c>
      <c r="AA683">
        <v>0</v>
      </c>
      <c r="AB683">
        <v>0</v>
      </c>
      <c r="AC683">
        <v>11</v>
      </c>
      <c r="AD683">
        <v>5</v>
      </c>
      <c r="AG683" t="s">
        <v>1</v>
      </c>
      <c r="AH683" t="s">
        <v>435</v>
      </c>
      <c r="AI683">
        <v>367</v>
      </c>
      <c r="AJ683">
        <v>82</v>
      </c>
      <c r="AK683">
        <v>150</v>
      </c>
      <c r="AL683">
        <v>28</v>
      </c>
      <c r="AM683">
        <v>4</v>
      </c>
      <c r="AN683" t="s">
        <v>49</v>
      </c>
      <c r="AO683">
        <v>0.86717062634989206</v>
      </c>
      <c r="AP683">
        <v>166</v>
      </c>
    </row>
    <row r="684" spans="1:42" x14ac:dyDescent="0.35">
      <c r="A684">
        <v>97711</v>
      </c>
      <c r="B684">
        <v>8619</v>
      </c>
      <c r="C684">
        <v>950740</v>
      </c>
      <c r="D684">
        <v>374</v>
      </c>
      <c r="E684" s="147">
        <v>44207</v>
      </c>
      <c r="F684" t="s">
        <v>556</v>
      </c>
      <c r="G684" t="s">
        <v>109</v>
      </c>
      <c r="H684" s="147">
        <v>44212</v>
      </c>
      <c r="I684">
        <v>7</v>
      </c>
      <c r="J684" t="s">
        <v>196</v>
      </c>
      <c r="L684">
        <v>0</v>
      </c>
      <c r="M684">
        <v>0</v>
      </c>
      <c r="U684">
        <v>863</v>
      </c>
      <c r="V684">
        <v>807</v>
      </c>
      <c r="W684">
        <v>0</v>
      </c>
      <c r="X684">
        <v>0</v>
      </c>
      <c r="Y684">
        <v>59</v>
      </c>
      <c r="Z684">
        <v>59</v>
      </c>
      <c r="AA684">
        <v>0</v>
      </c>
      <c r="AB684">
        <v>0</v>
      </c>
      <c r="AC684">
        <v>5</v>
      </c>
      <c r="AD684">
        <v>1</v>
      </c>
      <c r="AG684" t="s">
        <v>1</v>
      </c>
      <c r="AH684" t="s">
        <v>435</v>
      </c>
      <c r="AI684">
        <v>350</v>
      </c>
      <c r="AJ684">
        <v>113</v>
      </c>
      <c r="AK684">
        <v>151</v>
      </c>
      <c r="AL684">
        <v>7</v>
      </c>
      <c r="AM684">
        <v>2</v>
      </c>
      <c r="AN684" t="s">
        <v>49</v>
      </c>
      <c r="AO684">
        <v>0.93511008111239857</v>
      </c>
      <c r="AP684">
        <v>172</v>
      </c>
    </row>
    <row r="685" spans="1:42" x14ac:dyDescent="0.35">
      <c r="A685">
        <v>97714</v>
      </c>
      <c r="B685">
        <v>8619</v>
      </c>
      <c r="C685">
        <v>950743</v>
      </c>
      <c r="D685">
        <v>311</v>
      </c>
      <c r="E685" s="147">
        <v>44207</v>
      </c>
      <c r="F685" t="s">
        <v>582</v>
      </c>
      <c r="G685" t="s">
        <v>131</v>
      </c>
      <c r="H685" s="147">
        <v>44212</v>
      </c>
      <c r="I685">
        <v>7</v>
      </c>
      <c r="J685" t="s">
        <v>196</v>
      </c>
      <c r="L685">
        <v>0</v>
      </c>
      <c r="M685">
        <v>0</v>
      </c>
      <c r="U685">
        <v>940</v>
      </c>
      <c r="V685">
        <v>852</v>
      </c>
      <c r="W685">
        <v>0</v>
      </c>
      <c r="X685">
        <v>0</v>
      </c>
      <c r="Y685">
        <v>118</v>
      </c>
      <c r="Z685">
        <v>117</v>
      </c>
      <c r="AA685">
        <v>0</v>
      </c>
      <c r="AB685">
        <v>0</v>
      </c>
      <c r="AC685">
        <v>4</v>
      </c>
      <c r="AD685">
        <v>1</v>
      </c>
      <c r="AG685" t="s">
        <v>1</v>
      </c>
      <c r="AH685" t="s">
        <v>435</v>
      </c>
      <c r="AI685">
        <v>385</v>
      </c>
      <c r="AJ685">
        <v>113</v>
      </c>
      <c r="AK685">
        <v>146</v>
      </c>
      <c r="AL685">
        <v>24</v>
      </c>
      <c r="AM685">
        <v>3</v>
      </c>
      <c r="AN685" t="s">
        <v>49</v>
      </c>
      <c r="AO685">
        <v>0.90638297872340423</v>
      </c>
      <c r="AP685">
        <v>196</v>
      </c>
    </row>
    <row r="686" spans="1:42" x14ac:dyDescent="0.35">
      <c r="A686">
        <v>97727</v>
      </c>
      <c r="B686">
        <v>8619</v>
      </c>
      <c r="C686">
        <v>950756</v>
      </c>
      <c r="D686">
        <v>516</v>
      </c>
      <c r="E686" s="147">
        <v>44207</v>
      </c>
      <c r="F686" t="s">
        <v>587</v>
      </c>
      <c r="G686" t="s">
        <v>139</v>
      </c>
      <c r="H686" s="147">
        <v>44212</v>
      </c>
      <c r="I686">
        <v>7</v>
      </c>
      <c r="J686" t="s">
        <v>196</v>
      </c>
      <c r="L686">
        <v>0</v>
      </c>
      <c r="M686">
        <v>0</v>
      </c>
      <c r="U686">
        <v>724</v>
      </c>
      <c r="V686">
        <v>579</v>
      </c>
      <c r="W686">
        <v>0</v>
      </c>
      <c r="X686">
        <v>0</v>
      </c>
      <c r="Y686">
        <v>23</v>
      </c>
      <c r="Z686">
        <v>23</v>
      </c>
      <c r="AA686">
        <v>0</v>
      </c>
      <c r="AB686">
        <v>0</v>
      </c>
      <c r="AC686">
        <v>6</v>
      </c>
      <c r="AD686">
        <v>4</v>
      </c>
      <c r="AG686" t="s">
        <v>226</v>
      </c>
      <c r="AH686" t="s">
        <v>435</v>
      </c>
      <c r="AI686">
        <v>264</v>
      </c>
      <c r="AJ686">
        <v>64</v>
      </c>
      <c r="AK686">
        <v>107</v>
      </c>
      <c r="AL686">
        <v>5</v>
      </c>
      <c r="AM686">
        <v>3</v>
      </c>
      <c r="AN686" t="s">
        <v>49</v>
      </c>
      <c r="AO686">
        <v>0.79972375690607733</v>
      </c>
      <c r="AP686">
        <v>131</v>
      </c>
    </row>
    <row r="687" spans="1:42" x14ac:dyDescent="0.35">
      <c r="A687">
        <v>97729</v>
      </c>
      <c r="B687">
        <v>8619</v>
      </c>
      <c r="C687">
        <v>950758</v>
      </c>
      <c r="D687">
        <v>408</v>
      </c>
      <c r="E687" s="147">
        <v>44207</v>
      </c>
      <c r="F687" t="s">
        <v>588</v>
      </c>
      <c r="G687" t="s">
        <v>148</v>
      </c>
      <c r="H687" s="147">
        <v>44212</v>
      </c>
      <c r="I687">
        <v>7</v>
      </c>
      <c r="J687" t="s">
        <v>196</v>
      </c>
      <c r="L687">
        <v>0</v>
      </c>
      <c r="M687">
        <v>0</v>
      </c>
      <c r="U687">
        <v>634</v>
      </c>
      <c r="V687">
        <v>550</v>
      </c>
      <c r="W687">
        <v>0</v>
      </c>
      <c r="X687">
        <v>0</v>
      </c>
      <c r="Y687">
        <v>22</v>
      </c>
      <c r="Z687">
        <v>10</v>
      </c>
      <c r="AA687">
        <v>0</v>
      </c>
      <c r="AB687">
        <v>0</v>
      </c>
      <c r="AC687">
        <v>18</v>
      </c>
      <c r="AD687">
        <v>13</v>
      </c>
      <c r="AG687" t="s">
        <v>226</v>
      </c>
      <c r="AH687" t="s">
        <v>435</v>
      </c>
      <c r="AI687">
        <v>231</v>
      </c>
      <c r="AJ687">
        <v>64</v>
      </c>
      <c r="AK687">
        <v>103</v>
      </c>
      <c r="AL687">
        <v>32</v>
      </c>
      <c r="AM687">
        <v>18</v>
      </c>
      <c r="AN687" t="s">
        <v>49</v>
      </c>
      <c r="AO687">
        <v>0.86750788643533128</v>
      </c>
      <c r="AP687">
        <v>127</v>
      </c>
    </row>
    <row r="688" spans="1:42" x14ac:dyDescent="0.35">
      <c r="A688">
        <v>97731</v>
      </c>
      <c r="B688">
        <v>8619</v>
      </c>
      <c r="C688">
        <v>950760</v>
      </c>
      <c r="D688">
        <v>478</v>
      </c>
      <c r="E688" s="147">
        <v>44207</v>
      </c>
      <c r="F688" t="s">
        <v>589</v>
      </c>
      <c r="G688" t="s">
        <v>155</v>
      </c>
      <c r="H688" s="147">
        <v>44212</v>
      </c>
      <c r="I688">
        <v>7</v>
      </c>
      <c r="J688" t="s">
        <v>196</v>
      </c>
      <c r="L688">
        <v>0</v>
      </c>
      <c r="M688">
        <v>0</v>
      </c>
      <c r="U688">
        <v>891</v>
      </c>
      <c r="V688">
        <v>707</v>
      </c>
      <c r="W688">
        <v>0</v>
      </c>
      <c r="X688">
        <v>0</v>
      </c>
      <c r="Y688">
        <v>30</v>
      </c>
      <c r="Z688">
        <v>23</v>
      </c>
      <c r="AA688">
        <v>0</v>
      </c>
      <c r="AB688">
        <v>0</v>
      </c>
      <c r="AC688">
        <v>23</v>
      </c>
      <c r="AD688">
        <v>15</v>
      </c>
      <c r="AG688" t="s">
        <v>226</v>
      </c>
      <c r="AH688" t="s">
        <v>435</v>
      </c>
      <c r="AI688">
        <v>238</v>
      </c>
      <c r="AJ688">
        <v>70</v>
      </c>
      <c r="AK688">
        <v>132</v>
      </c>
      <c r="AL688">
        <v>16</v>
      </c>
      <c r="AM688">
        <v>6</v>
      </c>
      <c r="AN688" t="s">
        <v>49</v>
      </c>
      <c r="AO688">
        <v>0.79349046015712688</v>
      </c>
      <c r="AP688">
        <v>139</v>
      </c>
    </row>
    <row r="689" spans="1:42" x14ac:dyDescent="0.35">
      <c r="A689">
        <v>97732</v>
      </c>
      <c r="B689">
        <v>8619</v>
      </c>
      <c r="C689">
        <v>950761</v>
      </c>
      <c r="D689">
        <v>441</v>
      </c>
      <c r="E689" s="147">
        <v>44207</v>
      </c>
      <c r="F689" t="s">
        <v>590</v>
      </c>
      <c r="G689" t="s">
        <v>158</v>
      </c>
      <c r="H689" s="147">
        <v>44212</v>
      </c>
      <c r="I689">
        <v>7</v>
      </c>
      <c r="J689" t="s">
        <v>196</v>
      </c>
      <c r="L689">
        <v>0</v>
      </c>
      <c r="M689">
        <v>0</v>
      </c>
      <c r="U689">
        <v>2407</v>
      </c>
      <c r="V689">
        <v>2166</v>
      </c>
      <c r="W689">
        <v>0</v>
      </c>
      <c r="X689">
        <v>0</v>
      </c>
      <c r="Y689">
        <v>171</v>
      </c>
      <c r="Z689">
        <v>171</v>
      </c>
      <c r="AA689">
        <v>0</v>
      </c>
      <c r="AB689">
        <v>0</v>
      </c>
      <c r="AC689">
        <v>20</v>
      </c>
      <c r="AD689">
        <v>20</v>
      </c>
      <c r="AG689" t="s">
        <v>226</v>
      </c>
      <c r="AH689" t="s">
        <v>435</v>
      </c>
      <c r="AI689">
        <v>1180</v>
      </c>
      <c r="AJ689">
        <v>405</v>
      </c>
      <c r="AK689">
        <v>366</v>
      </c>
      <c r="AL689">
        <v>56</v>
      </c>
      <c r="AM689">
        <v>16</v>
      </c>
      <c r="AN689" t="s">
        <v>49</v>
      </c>
      <c r="AO689">
        <v>0.89987536352305775</v>
      </c>
      <c r="AP689">
        <v>649</v>
      </c>
    </row>
    <row r="690" spans="1:42" x14ac:dyDescent="0.35">
      <c r="A690">
        <v>97733</v>
      </c>
      <c r="B690">
        <v>8619</v>
      </c>
      <c r="C690">
        <v>950762</v>
      </c>
      <c r="D690">
        <v>389</v>
      </c>
      <c r="E690" s="147">
        <v>44207</v>
      </c>
      <c r="F690" t="s">
        <v>563</v>
      </c>
      <c r="G690" t="s">
        <v>159</v>
      </c>
      <c r="H690" s="147">
        <v>44212</v>
      </c>
      <c r="I690">
        <v>7</v>
      </c>
      <c r="J690" t="s">
        <v>196</v>
      </c>
      <c r="L690">
        <v>0</v>
      </c>
      <c r="M690">
        <v>0</v>
      </c>
      <c r="U690">
        <v>1022</v>
      </c>
      <c r="V690">
        <v>927</v>
      </c>
      <c r="W690">
        <v>0</v>
      </c>
      <c r="X690">
        <v>0</v>
      </c>
      <c r="Y690">
        <v>71</v>
      </c>
      <c r="Z690">
        <v>60</v>
      </c>
      <c r="AA690">
        <v>0</v>
      </c>
      <c r="AB690">
        <v>0</v>
      </c>
      <c r="AC690">
        <v>27</v>
      </c>
      <c r="AD690">
        <v>22</v>
      </c>
      <c r="AG690" t="s">
        <v>226</v>
      </c>
      <c r="AH690" t="s">
        <v>435</v>
      </c>
      <c r="AI690">
        <v>393</v>
      </c>
      <c r="AJ690">
        <v>115</v>
      </c>
      <c r="AK690">
        <v>114</v>
      </c>
      <c r="AL690">
        <v>20</v>
      </c>
      <c r="AM690">
        <v>14</v>
      </c>
      <c r="AN690" t="s">
        <v>49</v>
      </c>
      <c r="AO690">
        <v>0.90704500978473579</v>
      </c>
      <c r="AP690">
        <v>195</v>
      </c>
    </row>
    <row r="691" spans="1:42" x14ac:dyDescent="0.35">
      <c r="A691">
        <v>97748</v>
      </c>
      <c r="B691">
        <v>8619</v>
      </c>
      <c r="C691">
        <v>950777</v>
      </c>
      <c r="D691">
        <v>477</v>
      </c>
      <c r="E691" s="147">
        <v>44207</v>
      </c>
      <c r="F691" t="s">
        <v>578</v>
      </c>
      <c r="G691" t="s">
        <v>260</v>
      </c>
      <c r="H691" s="147">
        <v>44212</v>
      </c>
      <c r="I691">
        <v>7</v>
      </c>
      <c r="J691" t="s">
        <v>196</v>
      </c>
      <c r="L691">
        <v>0</v>
      </c>
      <c r="M691">
        <v>0</v>
      </c>
      <c r="U691">
        <v>851</v>
      </c>
      <c r="V691">
        <v>740</v>
      </c>
      <c r="W691">
        <v>0</v>
      </c>
      <c r="X691">
        <v>0</v>
      </c>
      <c r="Y691">
        <v>73</v>
      </c>
      <c r="Z691">
        <v>53</v>
      </c>
      <c r="AA691">
        <v>0</v>
      </c>
      <c r="AB691">
        <v>0</v>
      </c>
      <c r="AC691">
        <v>5</v>
      </c>
      <c r="AD691">
        <v>4</v>
      </c>
      <c r="AG691" t="s">
        <v>258</v>
      </c>
      <c r="AH691" t="s">
        <v>435</v>
      </c>
      <c r="AI691">
        <v>311</v>
      </c>
      <c r="AJ691">
        <v>80</v>
      </c>
      <c r="AK691">
        <v>128</v>
      </c>
      <c r="AL691">
        <v>17</v>
      </c>
      <c r="AM691">
        <v>5</v>
      </c>
      <c r="AN691" t="s">
        <v>49</v>
      </c>
      <c r="AO691">
        <v>0.86956521739130432</v>
      </c>
      <c r="AP691">
        <v>144</v>
      </c>
    </row>
    <row r="692" spans="1:42" x14ac:dyDescent="0.35">
      <c r="A692">
        <v>97757</v>
      </c>
      <c r="B692">
        <v>8619</v>
      </c>
      <c r="C692">
        <v>950786</v>
      </c>
      <c r="D692">
        <v>458</v>
      </c>
      <c r="E692" s="147">
        <v>44207</v>
      </c>
      <c r="F692" t="s">
        <v>539</v>
      </c>
      <c r="G692" t="s">
        <v>140</v>
      </c>
      <c r="H692" s="147">
        <v>44212</v>
      </c>
      <c r="I692">
        <v>7</v>
      </c>
      <c r="J692" t="s">
        <v>196</v>
      </c>
      <c r="L692">
        <v>0</v>
      </c>
      <c r="M692">
        <v>0</v>
      </c>
      <c r="U692">
        <v>756</v>
      </c>
      <c r="V692">
        <v>600</v>
      </c>
      <c r="W692">
        <v>0</v>
      </c>
      <c r="X692">
        <v>0</v>
      </c>
      <c r="Y692">
        <v>74</v>
      </c>
      <c r="Z692">
        <v>59</v>
      </c>
      <c r="AA692">
        <v>0</v>
      </c>
      <c r="AB692">
        <v>0</v>
      </c>
      <c r="AC692">
        <v>15</v>
      </c>
      <c r="AD692">
        <v>5</v>
      </c>
      <c r="AG692" t="s">
        <v>258</v>
      </c>
      <c r="AH692" t="s">
        <v>435</v>
      </c>
      <c r="AI692">
        <v>321</v>
      </c>
      <c r="AJ692">
        <v>117</v>
      </c>
      <c r="AK692">
        <v>90</v>
      </c>
      <c r="AL692">
        <v>5</v>
      </c>
      <c r="AM692">
        <v>4</v>
      </c>
      <c r="AN692" t="s">
        <v>49</v>
      </c>
      <c r="AO692">
        <v>0.79365079365079361</v>
      </c>
      <c r="AP692">
        <v>190</v>
      </c>
    </row>
    <row r="693" spans="1:42" x14ac:dyDescent="0.35">
      <c r="A693">
        <v>97767</v>
      </c>
      <c r="B693">
        <v>8619</v>
      </c>
      <c r="C693">
        <v>950796</v>
      </c>
      <c r="D693">
        <v>513</v>
      </c>
      <c r="E693" s="147">
        <v>44207</v>
      </c>
      <c r="F693" t="s">
        <v>571</v>
      </c>
      <c r="G693" t="s">
        <v>89</v>
      </c>
      <c r="H693" s="147">
        <v>44212</v>
      </c>
      <c r="I693">
        <v>7</v>
      </c>
      <c r="J693" t="s">
        <v>196</v>
      </c>
      <c r="L693">
        <v>0</v>
      </c>
      <c r="M693">
        <v>0</v>
      </c>
      <c r="U693">
        <v>839</v>
      </c>
      <c r="V693">
        <v>726</v>
      </c>
      <c r="W693">
        <v>0</v>
      </c>
      <c r="X693">
        <v>0</v>
      </c>
      <c r="Y693">
        <v>52</v>
      </c>
      <c r="Z693">
        <v>45</v>
      </c>
      <c r="AA693">
        <v>0</v>
      </c>
      <c r="AB693">
        <v>0</v>
      </c>
      <c r="AC693">
        <v>8</v>
      </c>
      <c r="AD693">
        <v>7</v>
      </c>
      <c r="AG693" t="s">
        <v>255</v>
      </c>
      <c r="AH693" t="s">
        <v>435</v>
      </c>
      <c r="AI693">
        <v>368</v>
      </c>
      <c r="AJ693">
        <v>152</v>
      </c>
      <c r="AK693">
        <v>101</v>
      </c>
      <c r="AL693">
        <v>11</v>
      </c>
      <c r="AM693">
        <v>1</v>
      </c>
      <c r="AN693" t="s">
        <v>49</v>
      </c>
      <c r="AO693">
        <v>0.86531585220500595</v>
      </c>
      <c r="AP693">
        <v>231</v>
      </c>
    </row>
    <row r="694" spans="1:42" x14ac:dyDescent="0.35">
      <c r="A694">
        <v>97768</v>
      </c>
      <c r="B694">
        <v>8619</v>
      </c>
      <c r="C694">
        <v>950797</v>
      </c>
      <c r="D694">
        <v>510</v>
      </c>
      <c r="E694" s="147">
        <v>44207</v>
      </c>
      <c r="F694" t="s">
        <v>542</v>
      </c>
      <c r="G694" t="s">
        <v>107</v>
      </c>
      <c r="H694" s="147">
        <v>44212</v>
      </c>
      <c r="I694">
        <v>7</v>
      </c>
      <c r="J694" t="s">
        <v>196</v>
      </c>
      <c r="L694">
        <v>0</v>
      </c>
      <c r="M694">
        <v>0</v>
      </c>
      <c r="U694">
        <v>641</v>
      </c>
      <c r="V694">
        <v>583</v>
      </c>
      <c r="W694">
        <v>0</v>
      </c>
      <c r="X694">
        <v>0</v>
      </c>
      <c r="Y694">
        <v>41</v>
      </c>
      <c r="Z694">
        <v>41</v>
      </c>
      <c r="AA694">
        <v>0</v>
      </c>
      <c r="AB694">
        <v>0</v>
      </c>
      <c r="AC694">
        <v>28</v>
      </c>
      <c r="AD694">
        <v>12</v>
      </c>
      <c r="AG694" t="s">
        <v>255</v>
      </c>
      <c r="AH694" t="s">
        <v>435</v>
      </c>
      <c r="AI694">
        <v>369</v>
      </c>
      <c r="AJ694">
        <v>119</v>
      </c>
      <c r="AK694">
        <v>89</v>
      </c>
      <c r="AL694">
        <v>1</v>
      </c>
      <c r="AM694">
        <v>1</v>
      </c>
      <c r="AN694" t="s">
        <v>49</v>
      </c>
      <c r="AO694">
        <v>0.90951638065522622</v>
      </c>
      <c r="AP694">
        <v>198</v>
      </c>
    </row>
    <row r="695" spans="1:42" x14ac:dyDescent="0.35">
      <c r="A695">
        <v>97780</v>
      </c>
      <c r="B695">
        <v>8619</v>
      </c>
      <c r="C695">
        <v>950809</v>
      </c>
      <c r="D695">
        <v>321</v>
      </c>
      <c r="E695" s="147">
        <v>44207</v>
      </c>
      <c r="F695" t="s">
        <v>591</v>
      </c>
      <c r="G695" t="s">
        <v>168</v>
      </c>
      <c r="H695" s="147">
        <v>44212</v>
      </c>
      <c r="I695">
        <v>7</v>
      </c>
      <c r="J695" t="s">
        <v>196</v>
      </c>
      <c r="L695">
        <v>0</v>
      </c>
      <c r="M695">
        <v>0</v>
      </c>
      <c r="U695">
        <v>653</v>
      </c>
      <c r="V695">
        <v>602</v>
      </c>
      <c r="W695">
        <v>0</v>
      </c>
      <c r="X695">
        <v>0</v>
      </c>
      <c r="Y695">
        <v>18</v>
      </c>
      <c r="Z695">
        <v>14</v>
      </c>
      <c r="AA695">
        <v>0</v>
      </c>
      <c r="AB695">
        <v>0</v>
      </c>
      <c r="AC695">
        <v>7</v>
      </c>
      <c r="AD695">
        <v>2</v>
      </c>
      <c r="AG695" t="s">
        <v>255</v>
      </c>
      <c r="AH695" t="s">
        <v>435</v>
      </c>
      <c r="AI695">
        <v>287</v>
      </c>
      <c r="AJ695">
        <v>110</v>
      </c>
      <c r="AK695">
        <v>81</v>
      </c>
      <c r="AL695">
        <v>8</v>
      </c>
      <c r="AM695">
        <v>4</v>
      </c>
      <c r="AN695" t="s">
        <v>49</v>
      </c>
      <c r="AO695">
        <v>0.92189892802450235</v>
      </c>
      <c r="AP695">
        <v>166</v>
      </c>
    </row>
    <row r="696" spans="1:42" x14ac:dyDescent="0.35">
      <c r="A696">
        <v>97783</v>
      </c>
      <c r="B696">
        <v>8619</v>
      </c>
      <c r="C696">
        <v>950812</v>
      </c>
      <c r="D696">
        <v>506</v>
      </c>
      <c r="E696" s="147">
        <v>44207</v>
      </c>
      <c r="F696" t="s">
        <v>580</v>
      </c>
      <c r="G696" t="s">
        <v>74</v>
      </c>
      <c r="H696" s="147">
        <v>44212</v>
      </c>
      <c r="I696">
        <v>7</v>
      </c>
      <c r="J696" t="s">
        <v>196</v>
      </c>
      <c r="L696">
        <v>0</v>
      </c>
      <c r="M696">
        <v>0</v>
      </c>
      <c r="U696">
        <v>747</v>
      </c>
      <c r="V696">
        <v>613</v>
      </c>
      <c r="W696">
        <v>0</v>
      </c>
      <c r="X696">
        <v>0</v>
      </c>
      <c r="Y696">
        <v>72</v>
      </c>
      <c r="Z696">
        <v>71</v>
      </c>
      <c r="AA696">
        <v>0</v>
      </c>
      <c r="AB696">
        <v>0</v>
      </c>
      <c r="AC696">
        <v>39</v>
      </c>
      <c r="AD696">
        <v>21</v>
      </c>
      <c r="AG696" t="s">
        <v>223</v>
      </c>
      <c r="AH696" t="s">
        <v>435</v>
      </c>
      <c r="AI696">
        <v>366</v>
      </c>
      <c r="AJ696">
        <v>136</v>
      </c>
      <c r="AK696">
        <v>110</v>
      </c>
      <c r="AL696">
        <v>12</v>
      </c>
      <c r="AM696">
        <v>3</v>
      </c>
      <c r="AN696" t="s">
        <v>49</v>
      </c>
      <c r="AO696">
        <v>0.82061579651941097</v>
      </c>
      <c r="AP696">
        <v>210</v>
      </c>
    </row>
    <row r="697" spans="1:42" x14ac:dyDescent="0.35">
      <c r="A697">
        <v>97786</v>
      </c>
      <c r="B697">
        <v>8619</v>
      </c>
      <c r="C697">
        <v>950815</v>
      </c>
      <c r="D697">
        <v>469</v>
      </c>
      <c r="E697" s="147">
        <v>44207</v>
      </c>
      <c r="F697" t="s">
        <v>559</v>
      </c>
      <c r="G697" t="s">
        <v>88</v>
      </c>
      <c r="H697" s="147">
        <v>44212</v>
      </c>
      <c r="I697">
        <v>7</v>
      </c>
      <c r="J697" t="s">
        <v>196</v>
      </c>
      <c r="L697">
        <v>0</v>
      </c>
      <c r="M697">
        <v>0</v>
      </c>
      <c r="U697">
        <v>949</v>
      </c>
      <c r="V697">
        <v>837</v>
      </c>
      <c r="W697">
        <v>0</v>
      </c>
      <c r="X697">
        <v>0</v>
      </c>
      <c r="Y697">
        <v>50</v>
      </c>
      <c r="Z697">
        <v>41</v>
      </c>
      <c r="AA697">
        <v>0</v>
      </c>
      <c r="AB697">
        <v>0</v>
      </c>
      <c r="AC697">
        <v>39</v>
      </c>
      <c r="AD697">
        <v>19</v>
      </c>
      <c r="AG697" t="s">
        <v>223</v>
      </c>
      <c r="AH697" t="s">
        <v>435</v>
      </c>
      <c r="AI697">
        <v>374</v>
      </c>
      <c r="AJ697">
        <v>96</v>
      </c>
      <c r="AK697">
        <v>151</v>
      </c>
      <c r="AL697">
        <v>11</v>
      </c>
      <c r="AM697">
        <v>1</v>
      </c>
      <c r="AN697" t="s">
        <v>49</v>
      </c>
      <c r="AO697">
        <v>0.88198103266596417</v>
      </c>
      <c r="AP697">
        <v>180</v>
      </c>
    </row>
    <row r="698" spans="1:42" x14ac:dyDescent="0.35">
      <c r="A698">
        <v>97787</v>
      </c>
      <c r="B698">
        <v>8619</v>
      </c>
      <c r="C698">
        <v>950816</v>
      </c>
      <c r="D698">
        <v>502</v>
      </c>
      <c r="E698" s="147">
        <v>44207</v>
      </c>
      <c r="F698" t="s">
        <v>592</v>
      </c>
      <c r="G698" t="s">
        <v>90</v>
      </c>
      <c r="H698" s="147">
        <v>44212</v>
      </c>
      <c r="I698">
        <v>7</v>
      </c>
      <c r="J698" t="s">
        <v>196</v>
      </c>
      <c r="L698">
        <v>0</v>
      </c>
      <c r="M698">
        <v>0</v>
      </c>
      <c r="U698">
        <v>726</v>
      </c>
      <c r="V698">
        <v>726</v>
      </c>
      <c r="W698">
        <v>0</v>
      </c>
      <c r="X698">
        <v>0</v>
      </c>
      <c r="Y698">
        <v>31</v>
      </c>
      <c r="Z698">
        <v>30</v>
      </c>
      <c r="AA698">
        <v>0</v>
      </c>
      <c r="AB698">
        <v>0</v>
      </c>
      <c r="AC698">
        <v>12</v>
      </c>
      <c r="AD698">
        <v>2</v>
      </c>
      <c r="AG698" t="s">
        <v>223</v>
      </c>
      <c r="AH698" t="s">
        <v>435</v>
      </c>
      <c r="AI698">
        <v>346</v>
      </c>
      <c r="AJ698">
        <v>115</v>
      </c>
      <c r="AK698">
        <v>104</v>
      </c>
      <c r="AL698">
        <v>17</v>
      </c>
      <c r="AM698">
        <v>22</v>
      </c>
      <c r="AN698" t="s">
        <v>49</v>
      </c>
      <c r="AO698">
        <v>1</v>
      </c>
      <c r="AP698">
        <v>187</v>
      </c>
    </row>
    <row r="699" spans="1:42" x14ac:dyDescent="0.35">
      <c r="A699">
        <v>97788</v>
      </c>
      <c r="B699">
        <v>8619</v>
      </c>
      <c r="C699">
        <v>950817</v>
      </c>
      <c r="D699">
        <v>344</v>
      </c>
      <c r="E699" s="147">
        <v>44207</v>
      </c>
      <c r="F699" t="s">
        <v>540</v>
      </c>
      <c r="G699" t="s">
        <v>92</v>
      </c>
      <c r="H699" s="147">
        <v>44212</v>
      </c>
      <c r="I699">
        <v>7</v>
      </c>
      <c r="J699" t="s">
        <v>196</v>
      </c>
      <c r="L699">
        <v>0</v>
      </c>
      <c r="M699">
        <v>0</v>
      </c>
      <c r="U699">
        <v>1247</v>
      </c>
      <c r="V699">
        <v>1004</v>
      </c>
      <c r="W699">
        <v>0</v>
      </c>
      <c r="X699">
        <v>0</v>
      </c>
      <c r="Y699">
        <v>59</v>
      </c>
      <c r="Z699">
        <v>54</v>
      </c>
      <c r="AA699">
        <v>0</v>
      </c>
      <c r="AB699">
        <v>0</v>
      </c>
      <c r="AC699">
        <v>10</v>
      </c>
      <c r="AD699">
        <v>1</v>
      </c>
      <c r="AG699" t="s">
        <v>223</v>
      </c>
      <c r="AH699" t="s">
        <v>435</v>
      </c>
      <c r="AI699">
        <v>505</v>
      </c>
      <c r="AJ699">
        <v>131</v>
      </c>
      <c r="AK699">
        <v>209</v>
      </c>
      <c r="AL699">
        <v>4</v>
      </c>
      <c r="AM699">
        <v>1</v>
      </c>
      <c r="AN699" t="s">
        <v>49</v>
      </c>
      <c r="AO699">
        <v>0.8051323175621492</v>
      </c>
      <c r="AP699">
        <v>224</v>
      </c>
    </row>
    <row r="700" spans="1:42" x14ac:dyDescent="0.35">
      <c r="A700">
        <v>97792</v>
      </c>
      <c r="B700">
        <v>8619</v>
      </c>
      <c r="C700">
        <v>950821</v>
      </c>
      <c r="D700">
        <v>421</v>
      </c>
      <c r="E700" s="147">
        <v>44207</v>
      </c>
      <c r="F700" t="s">
        <v>593</v>
      </c>
      <c r="G700" t="s">
        <v>112</v>
      </c>
      <c r="H700" s="147">
        <v>44212</v>
      </c>
      <c r="I700">
        <v>7</v>
      </c>
      <c r="J700" t="s">
        <v>196</v>
      </c>
      <c r="L700">
        <v>0</v>
      </c>
      <c r="M700">
        <v>0</v>
      </c>
      <c r="U700">
        <v>465</v>
      </c>
      <c r="V700">
        <v>388</v>
      </c>
      <c r="W700">
        <v>0</v>
      </c>
      <c r="X700">
        <v>0</v>
      </c>
      <c r="Y700">
        <v>34</v>
      </c>
      <c r="Z700">
        <v>28</v>
      </c>
      <c r="AA700">
        <v>0</v>
      </c>
      <c r="AB700">
        <v>0</v>
      </c>
      <c r="AC700">
        <v>20</v>
      </c>
      <c r="AD700">
        <v>10</v>
      </c>
      <c r="AG700" t="s">
        <v>223</v>
      </c>
      <c r="AH700" t="s">
        <v>435</v>
      </c>
      <c r="AI700">
        <v>189</v>
      </c>
      <c r="AJ700">
        <v>43</v>
      </c>
      <c r="AK700">
        <v>102</v>
      </c>
      <c r="AL700">
        <v>12</v>
      </c>
      <c r="AM700">
        <v>16</v>
      </c>
      <c r="AN700" t="s">
        <v>49</v>
      </c>
      <c r="AO700">
        <v>0.83440860215053758</v>
      </c>
      <c r="AP700">
        <v>88</v>
      </c>
    </row>
    <row r="701" spans="1:42" x14ac:dyDescent="0.35">
      <c r="A701">
        <v>97794</v>
      </c>
      <c r="B701">
        <v>8619</v>
      </c>
      <c r="C701">
        <v>950823</v>
      </c>
      <c r="D701">
        <v>370</v>
      </c>
      <c r="E701" s="147">
        <v>44207</v>
      </c>
      <c r="F701" t="s">
        <v>561</v>
      </c>
      <c r="G701" t="s">
        <v>433</v>
      </c>
      <c r="H701" s="147">
        <v>44212</v>
      </c>
      <c r="I701">
        <v>7</v>
      </c>
      <c r="J701" t="s">
        <v>196</v>
      </c>
      <c r="L701">
        <v>0</v>
      </c>
      <c r="M701">
        <v>0</v>
      </c>
      <c r="U701">
        <v>957</v>
      </c>
      <c r="V701">
        <v>850</v>
      </c>
      <c r="W701">
        <v>0</v>
      </c>
      <c r="X701">
        <v>0</v>
      </c>
      <c r="Y701">
        <v>57</v>
      </c>
      <c r="Z701">
        <v>57</v>
      </c>
      <c r="AA701">
        <v>0</v>
      </c>
      <c r="AB701">
        <v>0</v>
      </c>
      <c r="AC701">
        <v>19</v>
      </c>
      <c r="AD701">
        <v>19</v>
      </c>
      <c r="AG701" t="s">
        <v>223</v>
      </c>
      <c r="AH701" t="s">
        <v>435</v>
      </c>
      <c r="AI701">
        <v>412</v>
      </c>
      <c r="AJ701">
        <v>121</v>
      </c>
      <c r="AK701">
        <v>138</v>
      </c>
      <c r="AL701">
        <v>15</v>
      </c>
      <c r="AM701">
        <v>5</v>
      </c>
      <c r="AN701" t="s">
        <v>49</v>
      </c>
      <c r="AO701">
        <v>0.88819226750261238</v>
      </c>
      <c r="AP701">
        <v>223</v>
      </c>
    </row>
    <row r="702" spans="1:42" x14ac:dyDescent="0.35">
      <c r="A702">
        <v>97799</v>
      </c>
      <c r="B702">
        <v>8619</v>
      </c>
      <c r="C702">
        <v>950828</v>
      </c>
      <c r="D702">
        <v>538</v>
      </c>
      <c r="E702" s="147">
        <v>44207</v>
      </c>
      <c r="F702" t="s">
        <v>560</v>
      </c>
      <c r="G702" t="s">
        <v>166</v>
      </c>
      <c r="H702" s="147">
        <v>44212</v>
      </c>
      <c r="I702">
        <v>7</v>
      </c>
      <c r="J702" t="s">
        <v>196</v>
      </c>
      <c r="L702">
        <v>0</v>
      </c>
      <c r="M702">
        <v>0</v>
      </c>
      <c r="U702">
        <v>865</v>
      </c>
      <c r="V702">
        <v>745</v>
      </c>
      <c r="W702">
        <v>0</v>
      </c>
      <c r="X702">
        <v>0</v>
      </c>
      <c r="Y702">
        <v>56</v>
      </c>
      <c r="Z702">
        <v>42</v>
      </c>
      <c r="AA702">
        <v>0</v>
      </c>
      <c r="AB702">
        <v>0</v>
      </c>
      <c r="AC702">
        <v>24</v>
      </c>
      <c r="AD702">
        <v>12</v>
      </c>
      <c r="AG702" t="s">
        <v>223</v>
      </c>
      <c r="AH702" t="s">
        <v>435</v>
      </c>
      <c r="AI702">
        <v>316</v>
      </c>
      <c r="AJ702">
        <v>81</v>
      </c>
      <c r="AK702">
        <v>115</v>
      </c>
      <c r="AL702">
        <v>7</v>
      </c>
      <c r="AM702">
        <v>1</v>
      </c>
      <c r="AN702" t="s">
        <v>49</v>
      </c>
      <c r="AO702">
        <v>0.86127167630057799</v>
      </c>
      <c r="AP702">
        <v>148</v>
      </c>
    </row>
    <row r="703" spans="1:42" x14ac:dyDescent="0.35">
      <c r="A703">
        <v>97801</v>
      </c>
      <c r="B703">
        <v>8619</v>
      </c>
      <c r="C703">
        <v>950830</v>
      </c>
      <c r="D703">
        <v>451</v>
      </c>
      <c r="E703" s="147">
        <v>44207</v>
      </c>
      <c r="F703" t="s">
        <v>594</v>
      </c>
      <c r="G703" t="s">
        <v>95</v>
      </c>
      <c r="H703" s="147">
        <v>44212</v>
      </c>
      <c r="I703">
        <v>7</v>
      </c>
      <c r="J703" t="s">
        <v>196</v>
      </c>
      <c r="L703">
        <v>0</v>
      </c>
      <c r="M703">
        <v>0</v>
      </c>
      <c r="U703">
        <v>802</v>
      </c>
      <c r="V703">
        <v>727</v>
      </c>
      <c r="W703">
        <v>0</v>
      </c>
      <c r="X703">
        <v>0</v>
      </c>
      <c r="Y703">
        <v>25</v>
      </c>
      <c r="Z703">
        <v>20</v>
      </c>
      <c r="AA703">
        <v>0</v>
      </c>
      <c r="AB703">
        <v>0</v>
      </c>
      <c r="AC703">
        <v>12</v>
      </c>
      <c r="AD703">
        <v>6</v>
      </c>
      <c r="AG703" t="s">
        <v>224</v>
      </c>
      <c r="AH703" t="s">
        <v>435</v>
      </c>
      <c r="AI703">
        <v>384</v>
      </c>
      <c r="AJ703">
        <v>120</v>
      </c>
      <c r="AK703">
        <v>102</v>
      </c>
      <c r="AL703">
        <v>8</v>
      </c>
      <c r="AM703">
        <v>4</v>
      </c>
      <c r="AN703" t="s">
        <v>49</v>
      </c>
      <c r="AO703">
        <v>0.90648379052369077</v>
      </c>
      <c r="AP703">
        <v>219</v>
      </c>
    </row>
    <row r="704" spans="1:42" x14ac:dyDescent="0.35">
      <c r="A704">
        <v>97802</v>
      </c>
      <c r="B704">
        <v>8619</v>
      </c>
      <c r="C704">
        <v>950831</v>
      </c>
      <c r="D704">
        <v>405</v>
      </c>
      <c r="E704" s="147">
        <v>44207</v>
      </c>
      <c r="F704" t="s">
        <v>557</v>
      </c>
      <c r="G704" t="s">
        <v>96</v>
      </c>
      <c r="H704" s="147">
        <v>44212</v>
      </c>
      <c r="I704">
        <v>7</v>
      </c>
      <c r="J704" t="s">
        <v>196</v>
      </c>
      <c r="L704">
        <v>0</v>
      </c>
      <c r="M704">
        <v>0</v>
      </c>
      <c r="U704">
        <v>503</v>
      </c>
      <c r="V704">
        <v>456</v>
      </c>
      <c r="W704">
        <v>0</v>
      </c>
      <c r="X704">
        <v>0</v>
      </c>
      <c r="Y704">
        <v>25</v>
      </c>
      <c r="Z704">
        <v>16</v>
      </c>
      <c r="AA704">
        <v>0</v>
      </c>
      <c r="AB704">
        <v>0</v>
      </c>
      <c r="AC704">
        <v>10</v>
      </c>
      <c r="AD704">
        <v>7</v>
      </c>
      <c r="AG704" t="s">
        <v>224</v>
      </c>
      <c r="AH704" t="s">
        <v>435</v>
      </c>
      <c r="AI704">
        <v>194</v>
      </c>
      <c r="AJ704">
        <v>52</v>
      </c>
      <c r="AK704">
        <v>53</v>
      </c>
      <c r="AL704">
        <v>2</v>
      </c>
      <c r="AM704">
        <v>1</v>
      </c>
      <c r="AN704" t="s">
        <v>49</v>
      </c>
      <c r="AO704">
        <v>0.90656063618290261</v>
      </c>
      <c r="AP704">
        <v>94</v>
      </c>
    </row>
    <row r="705" spans="1:42" x14ac:dyDescent="0.35">
      <c r="A705">
        <v>97805</v>
      </c>
      <c r="B705">
        <v>8619</v>
      </c>
      <c r="C705">
        <v>950834</v>
      </c>
      <c r="D705">
        <v>348</v>
      </c>
      <c r="E705" s="147">
        <v>44207</v>
      </c>
      <c r="F705" t="s">
        <v>558</v>
      </c>
      <c r="G705" t="s">
        <v>129</v>
      </c>
      <c r="H705" s="147">
        <v>44212</v>
      </c>
      <c r="I705">
        <v>7</v>
      </c>
      <c r="J705" t="s">
        <v>196</v>
      </c>
      <c r="L705">
        <v>0</v>
      </c>
      <c r="M705">
        <v>0</v>
      </c>
      <c r="U705">
        <v>556</v>
      </c>
      <c r="V705">
        <v>509</v>
      </c>
      <c r="W705">
        <v>0</v>
      </c>
      <c r="X705">
        <v>0</v>
      </c>
      <c r="Y705">
        <v>15</v>
      </c>
      <c r="Z705">
        <v>15</v>
      </c>
      <c r="AA705">
        <v>0</v>
      </c>
      <c r="AB705">
        <v>0</v>
      </c>
      <c r="AC705">
        <v>7</v>
      </c>
      <c r="AD705">
        <v>5</v>
      </c>
      <c r="AG705" t="s">
        <v>224</v>
      </c>
      <c r="AH705" t="s">
        <v>435</v>
      </c>
      <c r="AI705">
        <v>235</v>
      </c>
      <c r="AJ705">
        <v>70</v>
      </c>
      <c r="AK705">
        <v>99</v>
      </c>
      <c r="AL705">
        <v>8</v>
      </c>
      <c r="AM705">
        <v>19</v>
      </c>
      <c r="AN705" t="s">
        <v>49</v>
      </c>
      <c r="AO705">
        <v>0.91546762589928055</v>
      </c>
      <c r="AP705">
        <v>121</v>
      </c>
    </row>
    <row r="706" spans="1:42" x14ac:dyDescent="0.35">
      <c r="A706">
        <v>97807</v>
      </c>
      <c r="B706">
        <v>8619</v>
      </c>
      <c r="C706">
        <v>950836</v>
      </c>
      <c r="D706">
        <v>337</v>
      </c>
      <c r="E706" s="147">
        <v>44207</v>
      </c>
      <c r="F706" t="s">
        <v>595</v>
      </c>
      <c r="G706" t="s">
        <v>132</v>
      </c>
      <c r="H706" s="147">
        <v>44212</v>
      </c>
      <c r="I706">
        <v>7</v>
      </c>
      <c r="J706" t="s">
        <v>196</v>
      </c>
      <c r="L706">
        <v>0</v>
      </c>
      <c r="M706">
        <v>0</v>
      </c>
      <c r="U706">
        <v>532</v>
      </c>
      <c r="V706">
        <v>416</v>
      </c>
      <c r="W706">
        <v>0</v>
      </c>
      <c r="X706">
        <v>0</v>
      </c>
      <c r="Y706">
        <v>18</v>
      </c>
      <c r="Z706">
        <v>18</v>
      </c>
      <c r="AA706">
        <v>0</v>
      </c>
      <c r="AB706">
        <v>0</v>
      </c>
      <c r="AC706">
        <v>7</v>
      </c>
      <c r="AD706">
        <v>3</v>
      </c>
      <c r="AG706" t="s">
        <v>224</v>
      </c>
      <c r="AH706" t="s">
        <v>435</v>
      </c>
      <c r="AI706">
        <v>223</v>
      </c>
      <c r="AJ706">
        <v>65</v>
      </c>
      <c r="AK706">
        <v>74</v>
      </c>
      <c r="AL706">
        <v>10</v>
      </c>
      <c r="AM706">
        <v>5</v>
      </c>
      <c r="AN706" t="s">
        <v>49</v>
      </c>
      <c r="AO706">
        <v>0.78195488721804507</v>
      </c>
      <c r="AP706">
        <v>111</v>
      </c>
    </row>
    <row r="707" spans="1:42" x14ac:dyDescent="0.35">
      <c r="A707">
        <v>97812</v>
      </c>
      <c r="B707">
        <v>8619</v>
      </c>
      <c r="C707">
        <v>950841</v>
      </c>
      <c r="D707">
        <v>25513</v>
      </c>
      <c r="E707" s="147">
        <v>44207</v>
      </c>
      <c r="F707" t="s">
        <v>596</v>
      </c>
      <c r="G707" t="s">
        <v>437</v>
      </c>
      <c r="H707" s="147">
        <v>44212</v>
      </c>
      <c r="I707">
        <v>7</v>
      </c>
      <c r="J707" t="s">
        <v>196</v>
      </c>
      <c r="L707">
        <v>0</v>
      </c>
      <c r="M707">
        <v>0</v>
      </c>
      <c r="U707">
        <v>1028</v>
      </c>
      <c r="V707">
        <v>918</v>
      </c>
      <c r="W707">
        <v>0</v>
      </c>
      <c r="X707">
        <v>0</v>
      </c>
      <c r="Y707">
        <v>41</v>
      </c>
      <c r="Z707">
        <v>40</v>
      </c>
      <c r="AA707">
        <v>0</v>
      </c>
      <c r="AB707">
        <v>0</v>
      </c>
      <c r="AC707">
        <v>20</v>
      </c>
      <c r="AD707">
        <v>14</v>
      </c>
      <c r="AG707" t="s">
        <v>224</v>
      </c>
      <c r="AH707" t="s">
        <v>435</v>
      </c>
      <c r="AI707">
        <v>455</v>
      </c>
      <c r="AJ707">
        <v>142</v>
      </c>
      <c r="AK707">
        <v>123</v>
      </c>
      <c r="AL707">
        <v>13</v>
      </c>
      <c r="AM707">
        <v>3</v>
      </c>
      <c r="AN707" t="s">
        <v>49</v>
      </c>
      <c r="AO707">
        <v>0.89299610894941639</v>
      </c>
      <c r="AP707">
        <v>259</v>
      </c>
    </row>
    <row r="708" spans="1:42" x14ac:dyDescent="0.35">
      <c r="A708">
        <v>97817</v>
      </c>
      <c r="B708">
        <v>8619</v>
      </c>
      <c r="C708">
        <v>950846</v>
      </c>
      <c r="D708">
        <v>482</v>
      </c>
      <c r="E708" s="147">
        <v>44207</v>
      </c>
      <c r="F708" t="s">
        <v>549</v>
      </c>
      <c r="G708" t="s">
        <v>86</v>
      </c>
      <c r="H708" s="147">
        <v>44213</v>
      </c>
      <c r="I708">
        <v>7</v>
      </c>
      <c r="J708" t="s">
        <v>197</v>
      </c>
      <c r="L708">
        <v>0</v>
      </c>
      <c r="M708">
        <v>0</v>
      </c>
      <c r="U708">
        <v>530</v>
      </c>
      <c r="V708">
        <v>450</v>
      </c>
      <c r="W708">
        <v>0</v>
      </c>
      <c r="X708">
        <v>0</v>
      </c>
      <c r="Y708">
        <v>34</v>
      </c>
      <c r="Z708">
        <v>30</v>
      </c>
      <c r="AA708">
        <v>0</v>
      </c>
      <c r="AB708">
        <v>0</v>
      </c>
      <c r="AC708">
        <v>10</v>
      </c>
      <c r="AD708">
        <v>3</v>
      </c>
      <c r="AG708" t="s">
        <v>291</v>
      </c>
      <c r="AH708" t="s">
        <v>435</v>
      </c>
      <c r="AI708">
        <v>221</v>
      </c>
      <c r="AJ708">
        <v>55</v>
      </c>
      <c r="AK708">
        <v>67</v>
      </c>
      <c r="AL708">
        <v>1</v>
      </c>
      <c r="AM708">
        <v>1</v>
      </c>
      <c r="AN708" t="s">
        <v>49</v>
      </c>
      <c r="AO708">
        <v>0.84905660377358494</v>
      </c>
      <c r="AP708">
        <v>99</v>
      </c>
    </row>
    <row r="709" spans="1:42" x14ac:dyDescent="0.35">
      <c r="A709">
        <v>97818</v>
      </c>
      <c r="B709">
        <v>8619</v>
      </c>
      <c r="C709">
        <v>950847</v>
      </c>
      <c r="D709">
        <v>342</v>
      </c>
      <c r="E709" s="147">
        <v>44207</v>
      </c>
      <c r="F709" t="s">
        <v>583</v>
      </c>
      <c r="G709" t="s">
        <v>259</v>
      </c>
      <c r="H709" s="147">
        <v>44213</v>
      </c>
      <c r="I709">
        <v>7</v>
      </c>
      <c r="J709" t="s">
        <v>197</v>
      </c>
      <c r="L709">
        <v>0</v>
      </c>
      <c r="M709">
        <v>0</v>
      </c>
      <c r="U709">
        <v>1088</v>
      </c>
      <c r="V709">
        <v>874</v>
      </c>
      <c r="W709">
        <v>0</v>
      </c>
      <c r="X709">
        <v>0</v>
      </c>
      <c r="Y709">
        <v>49</v>
      </c>
      <c r="Z709">
        <v>49</v>
      </c>
      <c r="AA709">
        <v>0</v>
      </c>
      <c r="AB709">
        <v>0</v>
      </c>
      <c r="AC709">
        <v>10</v>
      </c>
      <c r="AD709">
        <v>4</v>
      </c>
      <c r="AG709" t="s">
        <v>291</v>
      </c>
      <c r="AH709" t="s">
        <v>435</v>
      </c>
      <c r="AI709">
        <v>435</v>
      </c>
      <c r="AJ709">
        <v>97</v>
      </c>
      <c r="AK709">
        <v>175</v>
      </c>
      <c r="AL709">
        <v>10</v>
      </c>
      <c r="AM709">
        <v>1</v>
      </c>
      <c r="AN709" t="s">
        <v>49</v>
      </c>
      <c r="AO709">
        <v>0.8033088235294118</v>
      </c>
      <c r="AP709">
        <v>179</v>
      </c>
    </row>
    <row r="710" spans="1:42" x14ac:dyDescent="0.35">
      <c r="A710">
        <v>97820</v>
      </c>
      <c r="B710">
        <v>8619</v>
      </c>
      <c r="C710">
        <v>950849</v>
      </c>
      <c r="D710">
        <v>310</v>
      </c>
      <c r="E710" s="147">
        <v>44207</v>
      </c>
      <c r="F710" t="s">
        <v>550</v>
      </c>
      <c r="G710" t="s">
        <v>432</v>
      </c>
      <c r="H710" s="147">
        <v>44213</v>
      </c>
      <c r="I710">
        <v>7</v>
      </c>
      <c r="J710" t="s">
        <v>197</v>
      </c>
      <c r="L710">
        <v>0</v>
      </c>
      <c r="M710">
        <v>0</v>
      </c>
      <c r="U710">
        <v>1650</v>
      </c>
      <c r="V710">
        <v>1215</v>
      </c>
      <c r="W710">
        <v>0</v>
      </c>
      <c r="X710">
        <v>0</v>
      </c>
      <c r="Y710">
        <v>145</v>
      </c>
      <c r="Z710">
        <v>102</v>
      </c>
      <c r="AA710">
        <v>0</v>
      </c>
      <c r="AB710">
        <v>0</v>
      </c>
      <c r="AC710">
        <v>28</v>
      </c>
      <c r="AD710">
        <v>14</v>
      </c>
      <c r="AG710" t="s">
        <v>291</v>
      </c>
      <c r="AH710" t="s">
        <v>435</v>
      </c>
      <c r="AI710">
        <v>531</v>
      </c>
      <c r="AJ710">
        <v>133</v>
      </c>
      <c r="AK710">
        <v>242</v>
      </c>
      <c r="AL710">
        <v>17</v>
      </c>
      <c r="AM710">
        <v>8</v>
      </c>
      <c r="AN710" t="s">
        <v>49</v>
      </c>
      <c r="AO710">
        <v>0.73636363636363633</v>
      </c>
      <c r="AP710">
        <v>241</v>
      </c>
    </row>
    <row r="711" spans="1:42" x14ac:dyDescent="0.35">
      <c r="A711">
        <v>97822</v>
      </c>
      <c r="B711">
        <v>8619</v>
      </c>
      <c r="C711">
        <v>950851</v>
      </c>
      <c r="D711">
        <v>399</v>
      </c>
      <c r="E711" s="147">
        <v>44207</v>
      </c>
      <c r="F711" t="s">
        <v>584</v>
      </c>
      <c r="G711" t="s">
        <v>116</v>
      </c>
      <c r="H711" s="147">
        <v>44213</v>
      </c>
      <c r="I711">
        <v>7</v>
      </c>
      <c r="J711" t="s">
        <v>197</v>
      </c>
      <c r="L711">
        <v>0</v>
      </c>
      <c r="M711">
        <v>0</v>
      </c>
      <c r="U711">
        <v>899</v>
      </c>
      <c r="V711">
        <v>785</v>
      </c>
      <c r="W711">
        <v>0</v>
      </c>
      <c r="X711">
        <v>0</v>
      </c>
      <c r="Y711">
        <v>67</v>
      </c>
      <c r="Z711">
        <v>56</v>
      </c>
      <c r="AA711">
        <v>0</v>
      </c>
      <c r="AB711">
        <v>0</v>
      </c>
      <c r="AC711">
        <v>15</v>
      </c>
      <c r="AD711">
        <v>11</v>
      </c>
      <c r="AG711" t="s">
        <v>291</v>
      </c>
      <c r="AH711" t="s">
        <v>435</v>
      </c>
      <c r="AI711">
        <v>370</v>
      </c>
      <c r="AJ711">
        <v>100</v>
      </c>
      <c r="AK711">
        <v>124</v>
      </c>
      <c r="AL711">
        <v>28</v>
      </c>
      <c r="AM711">
        <v>7</v>
      </c>
      <c r="AN711" t="s">
        <v>49</v>
      </c>
      <c r="AO711">
        <v>0.87319243604004448</v>
      </c>
      <c r="AP711">
        <v>188</v>
      </c>
    </row>
    <row r="712" spans="1:42" x14ac:dyDescent="0.35">
      <c r="A712">
        <v>97823</v>
      </c>
      <c r="B712">
        <v>8619</v>
      </c>
      <c r="C712">
        <v>950852</v>
      </c>
      <c r="D712">
        <v>360</v>
      </c>
      <c r="E712" s="147">
        <v>44207</v>
      </c>
      <c r="F712" t="s">
        <v>585</v>
      </c>
      <c r="G712" t="s">
        <v>120</v>
      </c>
      <c r="H712" s="147">
        <v>44213</v>
      </c>
      <c r="I712">
        <v>7</v>
      </c>
      <c r="J712" t="s">
        <v>197</v>
      </c>
      <c r="L712">
        <v>0</v>
      </c>
      <c r="M712">
        <v>0</v>
      </c>
      <c r="U712">
        <v>817</v>
      </c>
      <c r="V712">
        <v>748</v>
      </c>
      <c r="W712">
        <v>0</v>
      </c>
      <c r="X712">
        <v>0</v>
      </c>
      <c r="Y712">
        <v>22</v>
      </c>
      <c r="Z712">
        <v>22</v>
      </c>
      <c r="AA712">
        <v>0</v>
      </c>
      <c r="AB712">
        <v>0</v>
      </c>
      <c r="AC712">
        <v>3</v>
      </c>
      <c r="AD712">
        <v>1</v>
      </c>
      <c r="AG712" t="s">
        <v>291</v>
      </c>
      <c r="AH712" t="s">
        <v>435</v>
      </c>
      <c r="AI712">
        <v>348</v>
      </c>
      <c r="AJ712">
        <v>106</v>
      </c>
      <c r="AK712">
        <v>121</v>
      </c>
      <c r="AL712">
        <v>15</v>
      </c>
      <c r="AM712">
        <v>13</v>
      </c>
      <c r="AN712" t="s">
        <v>49</v>
      </c>
      <c r="AO712">
        <v>0.9155446756425949</v>
      </c>
      <c r="AP712">
        <v>185</v>
      </c>
    </row>
    <row r="713" spans="1:42" x14ac:dyDescent="0.35">
      <c r="A713">
        <v>97824</v>
      </c>
      <c r="B713">
        <v>8619</v>
      </c>
      <c r="C713">
        <v>950853</v>
      </c>
      <c r="D713">
        <v>431</v>
      </c>
      <c r="E713" s="147">
        <v>44207</v>
      </c>
      <c r="F713" t="s">
        <v>586</v>
      </c>
      <c r="G713" t="s">
        <v>151</v>
      </c>
      <c r="H713" s="147">
        <v>44213</v>
      </c>
      <c r="I713">
        <v>7</v>
      </c>
      <c r="J713" t="s">
        <v>197</v>
      </c>
      <c r="L713">
        <v>0</v>
      </c>
      <c r="M713">
        <v>0</v>
      </c>
      <c r="U713">
        <v>359</v>
      </c>
      <c r="V713">
        <v>317</v>
      </c>
      <c r="W713">
        <v>0</v>
      </c>
      <c r="X713">
        <v>0</v>
      </c>
      <c r="Y713">
        <v>20</v>
      </c>
      <c r="Z713">
        <v>20</v>
      </c>
      <c r="AA713">
        <v>0</v>
      </c>
      <c r="AB713">
        <v>0</v>
      </c>
      <c r="AC713">
        <v>6</v>
      </c>
      <c r="AD713">
        <v>6</v>
      </c>
      <c r="AG713" t="s">
        <v>291</v>
      </c>
      <c r="AH713" t="s">
        <v>435</v>
      </c>
      <c r="AI713">
        <v>115</v>
      </c>
      <c r="AJ713">
        <v>29</v>
      </c>
      <c r="AK713">
        <v>52</v>
      </c>
      <c r="AL713">
        <v>25</v>
      </c>
      <c r="AM713">
        <v>6</v>
      </c>
      <c r="AN713" t="s">
        <v>49</v>
      </c>
      <c r="AO713">
        <v>0.88300835654596099</v>
      </c>
      <c r="AP713">
        <v>52</v>
      </c>
    </row>
    <row r="714" spans="1:42" x14ac:dyDescent="0.35">
      <c r="A714">
        <v>97828</v>
      </c>
      <c r="B714">
        <v>8619</v>
      </c>
      <c r="C714">
        <v>950857</v>
      </c>
      <c r="D714">
        <v>353</v>
      </c>
      <c r="E714" s="147">
        <v>44207</v>
      </c>
      <c r="F714" t="s">
        <v>548</v>
      </c>
      <c r="G714" t="s">
        <v>67</v>
      </c>
      <c r="H714" s="147">
        <v>44213</v>
      </c>
      <c r="I714">
        <v>7</v>
      </c>
      <c r="J714" t="s">
        <v>197</v>
      </c>
      <c r="L714">
        <v>0</v>
      </c>
      <c r="M714">
        <v>0</v>
      </c>
      <c r="U714">
        <v>926</v>
      </c>
      <c r="V714">
        <v>815</v>
      </c>
      <c r="W714">
        <v>0</v>
      </c>
      <c r="X714">
        <v>0</v>
      </c>
      <c r="Y714">
        <v>79</v>
      </c>
      <c r="Z714">
        <v>74</v>
      </c>
      <c r="AA714">
        <v>0</v>
      </c>
      <c r="AB714">
        <v>0</v>
      </c>
      <c r="AC714">
        <v>11</v>
      </c>
      <c r="AD714">
        <v>11</v>
      </c>
      <c r="AG714" t="s">
        <v>1</v>
      </c>
      <c r="AH714" t="s">
        <v>435</v>
      </c>
      <c r="AI714">
        <v>366</v>
      </c>
      <c r="AJ714">
        <v>88</v>
      </c>
      <c r="AK714">
        <v>167</v>
      </c>
      <c r="AL714">
        <v>46</v>
      </c>
      <c r="AM714">
        <v>2</v>
      </c>
      <c r="AN714" t="s">
        <v>49</v>
      </c>
      <c r="AO714">
        <v>0.88012958963282939</v>
      </c>
      <c r="AP714">
        <v>172</v>
      </c>
    </row>
    <row r="715" spans="1:42" x14ac:dyDescent="0.35">
      <c r="A715">
        <v>97839</v>
      </c>
      <c r="B715">
        <v>8619</v>
      </c>
      <c r="C715">
        <v>950868</v>
      </c>
      <c r="D715">
        <v>25507</v>
      </c>
      <c r="E715" s="147">
        <v>44207</v>
      </c>
      <c r="F715" t="s">
        <v>553</v>
      </c>
      <c r="G715" t="s">
        <v>221</v>
      </c>
      <c r="H715" s="147">
        <v>44213</v>
      </c>
      <c r="I715">
        <v>7</v>
      </c>
      <c r="J715" t="s">
        <v>197</v>
      </c>
      <c r="L715">
        <v>0</v>
      </c>
      <c r="M715">
        <v>0</v>
      </c>
      <c r="U715">
        <v>906</v>
      </c>
      <c r="V715">
        <v>845</v>
      </c>
      <c r="W715">
        <v>0</v>
      </c>
      <c r="X715">
        <v>0</v>
      </c>
      <c r="Y715">
        <v>107</v>
      </c>
      <c r="Z715">
        <v>98</v>
      </c>
      <c r="AA715">
        <v>0</v>
      </c>
      <c r="AB715">
        <v>0</v>
      </c>
      <c r="AC715">
        <v>5</v>
      </c>
      <c r="AD715">
        <v>4</v>
      </c>
      <c r="AG715" t="s">
        <v>1</v>
      </c>
      <c r="AH715" t="s">
        <v>435</v>
      </c>
      <c r="AI715">
        <v>386</v>
      </c>
      <c r="AJ715">
        <v>94</v>
      </c>
      <c r="AK715">
        <v>173</v>
      </c>
      <c r="AL715">
        <v>9</v>
      </c>
      <c r="AM715">
        <v>2</v>
      </c>
      <c r="AN715" t="s">
        <v>49</v>
      </c>
      <c r="AO715">
        <v>0.93267108167770418</v>
      </c>
      <c r="AP715">
        <v>159</v>
      </c>
    </row>
    <row r="716" spans="1:42" x14ac:dyDescent="0.35">
      <c r="A716">
        <v>97840</v>
      </c>
      <c r="B716">
        <v>8619</v>
      </c>
      <c r="C716">
        <v>950869</v>
      </c>
      <c r="D716">
        <v>313</v>
      </c>
      <c r="E716" s="147">
        <v>44207</v>
      </c>
      <c r="F716" t="s">
        <v>538</v>
      </c>
      <c r="G716" t="s">
        <v>118</v>
      </c>
      <c r="H716" s="147">
        <v>44213</v>
      </c>
      <c r="I716">
        <v>7</v>
      </c>
      <c r="J716" t="s">
        <v>197</v>
      </c>
      <c r="L716">
        <v>0</v>
      </c>
      <c r="M716">
        <v>0</v>
      </c>
      <c r="U716">
        <v>459</v>
      </c>
      <c r="V716">
        <v>444</v>
      </c>
      <c r="W716">
        <v>0</v>
      </c>
      <c r="X716">
        <v>0</v>
      </c>
      <c r="Y716">
        <v>20</v>
      </c>
      <c r="Z716">
        <v>20</v>
      </c>
      <c r="AA716">
        <v>0</v>
      </c>
      <c r="AB716">
        <v>0</v>
      </c>
      <c r="AC716">
        <v>6</v>
      </c>
      <c r="AD716">
        <v>6</v>
      </c>
      <c r="AG716" t="s">
        <v>1</v>
      </c>
      <c r="AH716" t="s">
        <v>435</v>
      </c>
      <c r="AI716">
        <v>196</v>
      </c>
      <c r="AJ716">
        <v>38</v>
      </c>
      <c r="AK716">
        <v>103</v>
      </c>
      <c r="AL716">
        <v>20</v>
      </c>
      <c r="AM716">
        <v>11</v>
      </c>
      <c r="AN716" t="s">
        <v>49</v>
      </c>
      <c r="AO716">
        <v>0.9673202614379085</v>
      </c>
      <c r="AP716">
        <v>92</v>
      </c>
    </row>
    <row r="717" spans="1:42" x14ac:dyDescent="0.35">
      <c r="A717">
        <v>97841</v>
      </c>
      <c r="B717">
        <v>8619</v>
      </c>
      <c r="C717">
        <v>950870</v>
      </c>
      <c r="D717">
        <v>311</v>
      </c>
      <c r="E717" s="147">
        <v>44207</v>
      </c>
      <c r="F717" t="s">
        <v>582</v>
      </c>
      <c r="G717" t="s">
        <v>131</v>
      </c>
      <c r="H717" s="147">
        <v>44213</v>
      </c>
      <c r="I717">
        <v>7</v>
      </c>
      <c r="J717" t="s">
        <v>197</v>
      </c>
      <c r="L717">
        <v>0</v>
      </c>
      <c r="M717">
        <v>0</v>
      </c>
      <c r="U717">
        <v>940</v>
      </c>
      <c r="V717">
        <v>874</v>
      </c>
      <c r="W717">
        <v>0</v>
      </c>
      <c r="X717">
        <v>0</v>
      </c>
      <c r="Y717">
        <v>116</v>
      </c>
      <c r="Z717">
        <v>116</v>
      </c>
      <c r="AA717">
        <v>0</v>
      </c>
      <c r="AB717">
        <v>0</v>
      </c>
      <c r="AC717">
        <v>4</v>
      </c>
      <c r="AD717">
        <v>4</v>
      </c>
      <c r="AG717" t="s">
        <v>1</v>
      </c>
      <c r="AH717" t="s">
        <v>435</v>
      </c>
      <c r="AI717">
        <v>399</v>
      </c>
      <c r="AJ717">
        <v>112</v>
      </c>
      <c r="AK717">
        <v>127</v>
      </c>
      <c r="AL717">
        <v>13</v>
      </c>
      <c r="AM717">
        <v>1</v>
      </c>
      <c r="AN717" t="s">
        <v>49</v>
      </c>
      <c r="AO717">
        <v>0.92978723404255315</v>
      </c>
      <c r="AP717">
        <v>206</v>
      </c>
    </row>
    <row r="718" spans="1:42" x14ac:dyDescent="0.35">
      <c r="A718">
        <v>97843</v>
      </c>
      <c r="B718">
        <v>8619</v>
      </c>
      <c r="C718">
        <v>950872</v>
      </c>
      <c r="D718">
        <v>314</v>
      </c>
      <c r="E718" s="147">
        <v>44207</v>
      </c>
      <c r="F718" t="s">
        <v>530</v>
      </c>
      <c r="G718" t="s">
        <v>149</v>
      </c>
      <c r="H718" s="147">
        <v>44213</v>
      </c>
      <c r="I718">
        <v>7</v>
      </c>
      <c r="J718" t="s">
        <v>197</v>
      </c>
      <c r="L718">
        <v>0</v>
      </c>
      <c r="M718">
        <v>0</v>
      </c>
      <c r="U718">
        <v>337</v>
      </c>
      <c r="V718">
        <v>287</v>
      </c>
      <c r="W718">
        <v>0</v>
      </c>
      <c r="X718">
        <v>0</v>
      </c>
      <c r="Y718">
        <v>15</v>
      </c>
      <c r="Z718">
        <v>15</v>
      </c>
      <c r="AA718">
        <v>0</v>
      </c>
      <c r="AB718">
        <v>0</v>
      </c>
      <c r="AC718">
        <v>8</v>
      </c>
      <c r="AD718">
        <v>8</v>
      </c>
      <c r="AG718" t="s">
        <v>1</v>
      </c>
      <c r="AH718" t="s">
        <v>435</v>
      </c>
      <c r="AI718">
        <v>109</v>
      </c>
      <c r="AJ718">
        <v>29</v>
      </c>
      <c r="AK718">
        <v>70</v>
      </c>
      <c r="AL718">
        <v>4</v>
      </c>
      <c r="AM718">
        <v>1</v>
      </c>
      <c r="AN718" t="s">
        <v>49</v>
      </c>
      <c r="AO718">
        <v>0.85163204747774479</v>
      </c>
      <c r="AP718">
        <v>48</v>
      </c>
    </row>
    <row r="719" spans="1:42" x14ac:dyDescent="0.35">
      <c r="A719">
        <v>97852</v>
      </c>
      <c r="B719">
        <v>8619</v>
      </c>
      <c r="C719">
        <v>950881</v>
      </c>
      <c r="D719">
        <v>507</v>
      </c>
      <c r="E719" s="147">
        <v>44207</v>
      </c>
      <c r="F719" t="s">
        <v>565</v>
      </c>
      <c r="G719" t="s">
        <v>135</v>
      </c>
      <c r="H719" s="147">
        <v>44213</v>
      </c>
      <c r="I719">
        <v>7</v>
      </c>
      <c r="J719" t="s">
        <v>197</v>
      </c>
      <c r="L719">
        <v>0</v>
      </c>
      <c r="M719">
        <v>0</v>
      </c>
      <c r="U719">
        <v>659</v>
      </c>
      <c r="V719">
        <v>577</v>
      </c>
      <c r="W719">
        <v>0</v>
      </c>
      <c r="X719">
        <v>0</v>
      </c>
      <c r="Y719">
        <v>42</v>
      </c>
      <c r="Z719">
        <v>42</v>
      </c>
      <c r="AA719">
        <v>0</v>
      </c>
      <c r="AB719">
        <v>0</v>
      </c>
      <c r="AC719">
        <v>10</v>
      </c>
      <c r="AD719">
        <v>2</v>
      </c>
      <c r="AG719" t="s">
        <v>226</v>
      </c>
      <c r="AH719" t="s">
        <v>435</v>
      </c>
      <c r="AI719">
        <v>280</v>
      </c>
      <c r="AJ719">
        <v>66</v>
      </c>
      <c r="AK719">
        <v>169</v>
      </c>
      <c r="AL719">
        <v>18</v>
      </c>
      <c r="AM719">
        <v>7</v>
      </c>
      <c r="AN719" t="s">
        <v>49</v>
      </c>
      <c r="AO719">
        <v>0.87556904400606983</v>
      </c>
      <c r="AP719">
        <v>128</v>
      </c>
    </row>
    <row r="720" spans="1:42" x14ac:dyDescent="0.35">
      <c r="A720">
        <v>97853</v>
      </c>
      <c r="B720">
        <v>8619</v>
      </c>
      <c r="C720">
        <v>950882</v>
      </c>
      <c r="D720">
        <v>387</v>
      </c>
      <c r="E720" s="147">
        <v>44207</v>
      </c>
      <c r="F720" t="s">
        <v>562</v>
      </c>
      <c r="G720" t="s">
        <v>138</v>
      </c>
      <c r="H720" s="147">
        <v>44213</v>
      </c>
      <c r="I720">
        <v>7</v>
      </c>
      <c r="J720" t="s">
        <v>197</v>
      </c>
      <c r="L720">
        <v>0</v>
      </c>
      <c r="M720">
        <v>0</v>
      </c>
      <c r="U720">
        <v>570</v>
      </c>
      <c r="V720">
        <v>520</v>
      </c>
      <c r="W720">
        <v>0</v>
      </c>
      <c r="X720">
        <v>0</v>
      </c>
      <c r="Y720">
        <v>30</v>
      </c>
      <c r="Z720">
        <v>17</v>
      </c>
      <c r="AA720">
        <v>0</v>
      </c>
      <c r="AB720">
        <v>0</v>
      </c>
      <c r="AC720">
        <v>10</v>
      </c>
      <c r="AD720">
        <v>3</v>
      </c>
      <c r="AG720" t="s">
        <v>226</v>
      </c>
      <c r="AH720" t="s">
        <v>435</v>
      </c>
      <c r="AI720">
        <v>234</v>
      </c>
      <c r="AJ720">
        <v>60</v>
      </c>
      <c r="AK720">
        <v>103</v>
      </c>
      <c r="AL720">
        <v>1</v>
      </c>
      <c r="AM720">
        <v>1</v>
      </c>
      <c r="AN720" t="s">
        <v>49</v>
      </c>
      <c r="AO720">
        <v>0.91228070175438591</v>
      </c>
      <c r="AP720">
        <v>115</v>
      </c>
    </row>
    <row r="721" spans="1:42" x14ac:dyDescent="0.35">
      <c r="A721">
        <v>97854</v>
      </c>
      <c r="B721">
        <v>8619</v>
      </c>
      <c r="C721">
        <v>950883</v>
      </c>
      <c r="D721">
        <v>516</v>
      </c>
      <c r="E721" s="147">
        <v>44207</v>
      </c>
      <c r="F721" t="s">
        <v>587</v>
      </c>
      <c r="G721" t="s">
        <v>139</v>
      </c>
      <c r="H721" s="147">
        <v>44213</v>
      </c>
      <c r="I721">
        <v>7</v>
      </c>
      <c r="J721" t="s">
        <v>197</v>
      </c>
      <c r="L721">
        <v>0</v>
      </c>
      <c r="M721">
        <v>0</v>
      </c>
      <c r="U721">
        <v>731</v>
      </c>
      <c r="V721">
        <v>597</v>
      </c>
      <c r="W721">
        <v>0</v>
      </c>
      <c r="X721">
        <v>0</v>
      </c>
      <c r="Y721">
        <v>23</v>
      </c>
      <c r="Z721">
        <v>23</v>
      </c>
      <c r="AA721">
        <v>0</v>
      </c>
      <c r="AB721">
        <v>0</v>
      </c>
      <c r="AC721">
        <v>6</v>
      </c>
      <c r="AD721">
        <v>4</v>
      </c>
      <c r="AG721" t="s">
        <v>226</v>
      </c>
      <c r="AH721" t="s">
        <v>435</v>
      </c>
      <c r="AI721">
        <v>270</v>
      </c>
      <c r="AJ721">
        <v>68</v>
      </c>
      <c r="AK721">
        <v>101</v>
      </c>
      <c r="AL721">
        <v>15</v>
      </c>
      <c r="AM721">
        <v>20</v>
      </c>
      <c r="AN721" t="s">
        <v>49</v>
      </c>
      <c r="AO721">
        <v>0.8166894664842681</v>
      </c>
      <c r="AP721">
        <v>134</v>
      </c>
    </row>
    <row r="722" spans="1:42" x14ac:dyDescent="0.35">
      <c r="A722">
        <v>97856</v>
      </c>
      <c r="B722">
        <v>8619</v>
      </c>
      <c r="C722">
        <v>950885</v>
      </c>
      <c r="D722">
        <v>408</v>
      </c>
      <c r="E722" s="147">
        <v>44207</v>
      </c>
      <c r="F722" t="s">
        <v>588</v>
      </c>
      <c r="G722" t="s">
        <v>148</v>
      </c>
      <c r="H722" s="147">
        <v>44213</v>
      </c>
      <c r="I722">
        <v>7</v>
      </c>
      <c r="J722" t="s">
        <v>197</v>
      </c>
      <c r="L722">
        <v>0</v>
      </c>
      <c r="M722">
        <v>0</v>
      </c>
      <c r="U722">
        <v>604</v>
      </c>
      <c r="V722">
        <v>527</v>
      </c>
      <c r="W722">
        <v>0</v>
      </c>
      <c r="X722">
        <v>0</v>
      </c>
      <c r="Y722">
        <v>22</v>
      </c>
      <c r="Z722">
        <v>11</v>
      </c>
      <c r="AA722">
        <v>0</v>
      </c>
      <c r="AB722">
        <v>0</v>
      </c>
      <c r="AC722">
        <v>18</v>
      </c>
      <c r="AD722">
        <v>14</v>
      </c>
      <c r="AG722" t="s">
        <v>226</v>
      </c>
      <c r="AH722" t="s">
        <v>435</v>
      </c>
      <c r="AI722">
        <v>222</v>
      </c>
      <c r="AJ722">
        <v>67</v>
      </c>
      <c r="AK722">
        <v>129</v>
      </c>
      <c r="AL722">
        <v>21</v>
      </c>
      <c r="AM722">
        <v>18</v>
      </c>
      <c r="AN722" t="s">
        <v>49</v>
      </c>
      <c r="AO722">
        <v>0.87251655629139069</v>
      </c>
      <c r="AP722">
        <v>116</v>
      </c>
    </row>
    <row r="723" spans="1:42" x14ac:dyDescent="0.35">
      <c r="A723">
        <v>97858</v>
      </c>
      <c r="B723">
        <v>8619</v>
      </c>
      <c r="C723">
        <v>950887</v>
      </c>
      <c r="D723">
        <v>478</v>
      </c>
      <c r="E723" s="147">
        <v>44207</v>
      </c>
      <c r="F723" t="s">
        <v>589</v>
      </c>
      <c r="G723" t="s">
        <v>155</v>
      </c>
      <c r="H723" s="147">
        <v>44213</v>
      </c>
      <c r="I723">
        <v>7</v>
      </c>
      <c r="J723" t="s">
        <v>197</v>
      </c>
      <c r="L723">
        <v>0</v>
      </c>
      <c r="M723">
        <v>0</v>
      </c>
      <c r="U723">
        <v>848</v>
      </c>
      <c r="V723">
        <v>691</v>
      </c>
      <c r="W723">
        <v>0</v>
      </c>
      <c r="X723">
        <v>0</v>
      </c>
      <c r="Y723">
        <v>28</v>
      </c>
      <c r="Z723">
        <v>25</v>
      </c>
      <c r="AA723">
        <v>0</v>
      </c>
      <c r="AB723">
        <v>0</v>
      </c>
      <c r="AC723">
        <v>23</v>
      </c>
      <c r="AD723">
        <v>16</v>
      </c>
      <c r="AG723" t="s">
        <v>226</v>
      </c>
      <c r="AH723" t="s">
        <v>435</v>
      </c>
      <c r="AI723">
        <v>256</v>
      </c>
      <c r="AJ723">
        <v>74</v>
      </c>
      <c r="AK723">
        <v>148</v>
      </c>
      <c r="AL723">
        <v>35</v>
      </c>
      <c r="AM723">
        <v>6</v>
      </c>
      <c r="AN723" t="s">
        <v>49</v>
      </c>
      <c r="AO723">
        <v>0.81485849056603776</v>
      </c>
      <c r="AP723">
        <v>147</v>
      </c>
    </row>
    <row r="724" spans="1:42" x14ac:dyDescent="0.35">
      <c r="A724">
        <v>97859</v>
      </c>
      <c r="B724">
        <v>8619</v>
      </c>
      <c r="C724">
        <v>950888</v>
      </c>
      <c r="D724">
        <v>441</v>
      </c>
      <c r="E724" s="147">
        <v>44207</v>
      </c>
      <c r="F724" t="s">
        <v>590</v>
      </c>
      <c r="G724" t="s">
        <v>158</v>
      </c>
      <c r="H724" s="147">
        <v>44213</v>
      </c>
      <c r="I724">
        <v>7</v>
      </c>
      <c r="J724" t="s">
        <v>197</v>
      </c>
      <c r="L724">
        <v>0</v>
      </c>
      <c r="M724">
        <v>0</v>
      </c>
      <c r="U724">
        <v>2501</v>
      </c>
      <c r="V724">
        <v>2256</v>
      </c>
      <c r="W724">
        <v>0</v>
      </c>
      <c r="X724">
        <v>0</v>
      </c>
      <c r="Y724">
        <v>167</v>
      </c>
      <c r="Z724">
        <v>167</v>
      </c>
      <c r="AA724">
        <v>0</v>
      </c>
      <c r="AB724">
        <v>0</v>
      </c>
      <c r="AC724">
        <v>32</v>
      </c>
      <c r="AD724">
        <v>31</v>
      </c>
      <c r="AG724" t="s">
        <v>226</v>
      </c>
      <c r="AH724" t="s">
        <v>435</v>
      </c>
      <c r="AI724">
        <v>1250</v>
      </c>
      <c r="AJ724">
        <v>424</v>
      </c>
      <c r="AK724">
        <v>380</v>
      </c>
      <c r="AL724">
        <v>40</v>
      </c>
      <c r="AM724">
        <v>16</v>
      </c>
      <c r="AN724" t="s">
        <v>49</v>
      </c>
      <c r="AO724">
        <v>0.90203918432626951</v>
      </c>
      <c r="AP724">
        <v>696</v>
      </c>
    </row>
    <row r="725" spans="1:42" x14ac:dyDescent="0.35">
      <c r="A725">
        <v>97860</v>
      </c>
      <c r="B725">
        <v>8619</v>
      </c>
      <c r="C725">
        <v>950889</v>
      </c>
      <c r="D725">
        <v>389</v>
      </c>
      <c r="E725" s="147">
        <v>44207</v>
      </c>
      <c r="F725" t="s">
        <v>563</v>
      </c>
      <c r="G725" t="s">
        <v>159</v>
      </c>
      <c r="H725" s="147">
        <v>44213</v>
      </c>
      <c r="I725">
        <v>7</v>
      </c>
      <c r="J725" t="s">
        <v>197</v>
      </c>
      <c r="L725">
        <v>0</v>
      </c>
      <c r="M725">
        <v>0</v>
      </c>
      <c r="U725">
        <v>1021</v>
      </c>
      <c r="V725">
        <v>933</v>
      </c>
      <c r="W725">
        <v>0</v>
      </c>
      <c r="X725">
        <v>0</v>
      </c>
      <c r="Y725">
        <v>71</v>
      </c>
      <c r="Z725">
        <v>63</v>
      </c>
      <c r="AA725">
        <v>0</v>
      </c>
      <c r="AB725">
        <v>0</v>
      </c>
      <c r="AC725">
        <v>27</v>
      </c>
      <c r="AD725">
        <v>22</v>
      </c>
      <c r="AG725" t="s">
        <v>226</v>
      </c>
      <c r="AH725" t="s">
        <v>435</v>
      </c>
      <c r="AI725">
        <v>380</v>
      </c>
      <c r="AJ725">
        <v>118</v>
      </c>
      <c r="AK725">
        <v>116</v>
      </c>
      <c r="AL725">
        <v>25</v>
      </c>
      <c r="AM725">
        <v>7</v>
      </c>
      <c r="AN725" t="s">
        <v>49</v>
      </c>
      <c r="AO725">
        <v>0.91380999020568066</v>
      </c>
      <c r="AP725">
        <v>195</v>
      </c>
    </row>
    <row r="726" spans="1:42" x14ac:dyDescent="0.35">
      <c r="A726">
        <v>97875</v>
      </c>
      <c r="B726">
        <v>8619</v>
      </c>
      <c r="C726">
        <v>950904</v>
      </c>
      <c r="D726">
        <v>477</v>
      </c>
      <c r="E726" s="147">
        <v>44207</v>
      </c>
      <c r="F726" t="s">
        <v>578</v>
      </c>
      <c r="G726" t="s">
        <v>260</v>
      </c>
      <c r="H726" s="147">
        <v>44213</v>
      </c>
      <c r="I726">
        <v>7</v>
      </c>
      <c r="J726" t="s">
        <v>197</v>
      </c>
      <c r="L726">
        <v>0</v>
      </c>
      <c r="M726">
        <v>0</v>
      </c>
      <c r="U726">
        <v>833</v>
      </c>
      <c r="V726">
        <v>737</v>
      </c>
      <c r="W726">
        <v>0</v>
      </c>
      <c r="X726">
        <v>0</v>
      </c>
      <c r="Y726">
        <v>73</v>
      </c>
      <c r="Z726">
        <v>48</v>
      </c>
      <c r="AA726">
        <v>0</v>
      </c>
      <c r="AB726">
        <v>0</v>
      </c>
      <c r="AC726">
        <v>5</v>
      </c>
      <c r="AD726">
        <v>4</v>
      </c>
      <c r="AG726" t="s">
        <v>258</v>
      </c>
      <c r="AH726" t="s">
        <v>435</v>
      </c>
      <c r="AI726">
        <v>314</v>
      </c>
      <c r="AJ726">
        <v>78</v>
      </c>
      <c r="AK726">
        <v>131</v>
      </c>
      <c r="AL726">
        <v>23</v>
      </c>
      <c r="AM726">
        <v>7</v>
      </c>
      <c r="AN726" t="s">
        <v>49</v>
      </c>
      <c r="AO726">
        <v>0.88475390156062428</v>
      </c>
      <c r="AP726">
        <v>148</v>
      </c>
    </row>
    <row r="727" spans="1:42" x14ac:dyDescent="0.35">
      <c r="A727">
        <v>97903</v>
      </c>
      <c r="B727">
        <v>8619</v>
      </c>
      <c r="C727">
        <v>950932</v>
      </c>
      <c r="D727">
        <v>483</v>
      </c>
      <c r="E727" s="147">
        <v>44207</v>
      </c>
      <c r="F727" t="s">
        <v>568</v>
      </c>
      <c r="G727" t="s">
        <v>145</v>
      </c>
      <c r="H727" s="147">
        <v>44213</v>
      </c>
      <c r="I727">
        <v>7</v>
      </c>
      <c r="J727" t="s">
        <v>197</v>
      </c>
      <c r="L727">
        <v>0</v>
      </c>
      <c r="M727">
        <v>0</v>
      </c>
      <c r="U727">
        <v>556</v>
      </c>
      <c r="V727">
        <v>484</v>
      </c>
      <c r="W727">
        <v>0</v>
      </c>
      <c r="X727">
        <v>0</v>
      </c>
      <c r="Y727">
        <v>22</v>
      </c>
      <c r="Z727">
        <v>17</v>
      </c>
      <c r="AA727">
        <v>0</v>
      </c>
      <c r="AB727">
        <v>0</v>
      </c>
      <c r="AC727">
        <v>5</v>
      </c>
      <c r="AD727">
        <v>1</v>
      </c>
      <c r="AG727" t="s">
        <v>255</v>
      </c>
      <c r="AH727" t="s">
        <v>435</v>
      </c>
      <c r="AI727">
        <v>274</v>
      </c>
      <c r="AJ727">
        <v>112</v>
      </c>
      <c r="AK727">
        <v>87</v>
      </c>
      <c r="AL727">
        <v>3</v>
      </c>
      <c r="AM727">
        <v>1</v>
      </c>
      <c r="AN727" t="s">
        <v>49</v>
      </c>
      <c r="AO727">
        <v>0.87050359712230219</v>
      </c>
      <c r="AP727">
        <v>166</v>
      </c>
    </row>
    <row r="728" spans="1:42" x14ac:dyDescent="0.35">
      <c r="A728">
        <v>97907</v>
      </c>
      <c r="B728">
        <v>8619</v>
      </c>
      <c r="C728">
        <v>950936</v>
      </c>
      <c r="D728">
        <v>321</v>
      </c>
      <c r="E728" s="147">
        <v>44207</v>
      </c>
      <c r="F728" t="s">
        <v>591</v>
      </c>
      <c r="G728" t="s">
        <v>168</v>
      </c>
      <c r="H728" s="147">
        <v>44213</v>
      </c>
      <c r="I728">
        <v>7</v>
      </c>
      <c r="J728" t="s">
        <v>197</v>
      </c>
      <c r="L728">
        <v>0</v>
      </c>
      <c r="M728">
        <v>0</v>
      </c>
      <c r="U728">
        <v>665</v>
      </c>
      <c r="V728">
        <v>605</v>
      </c>
      <c r="W728">
        <v>0</v>
      </c>
      <c r="X728">
        <v>0</v>
      </c>
      <c r="Y728">
        <v>18</v>
      </c>
      <c r="Z728">
        <v>14</v>
      </c>
      <c r="AA728">
        <v>0</v>
      </c>
      <c r="AB728">
        <v>0</v>
      </c>
      <c r="AC728">
        <v>7</v>
      </c>
      <c r="AD728">
        <v>2</v>
      </c>
      <c r="AG728" t="s">
        <v>255</v>
      </c>
      <c r="AH728" t="s">
        <v>435</v>
      </c>
      <c r="AI728">
        <v>301</v>
      </c>
      <c r="AJ728">
        <v>111</v>
      </c>
      <c r="AK728">
        <v>87</v>
      </c>
      <c r="AL728">
        <v>7</v>
      </c>
      <c r="AM728">
        <v>2</v>
      </c>
      <c r="AN728" t="s">
        <v>49</v>
      </c>
      <c r="AO728">
        <v>0.90977443609022557</v>
      </c>
      <c r="AP728">
        <v>168</v>
      </c>
    </row>
    <row r="729" spans="1:42" x14ac:dyDescent="0.35">
      <c r="A729">
        <v>97910</v>
      </c>
      <c r="B729">
        <v>8619</v>
      </c>
      <c r="C729">
        <v>950939</v>
      </c>
      <c r="D729">
        <v>506</v>
      </c>
      <c r="E729" s="147">
        <v>44207</v>
      </c>
      <c r="F729" t="s">
        <v>580</v>
      </c>
      <c r="G729" t="s">
        <v>74</v>
      </c>
      <c r="H729" s="147">
        <v>44213</v>
      </c>
      <c r="I729">
        <v>7</v>
      </c>
      <c r="J729" t="s">
        <v>197</v>
      </c>
      <c r="L729">
        <v>0</v>
      </c>
      <c r="M729">
        <v>0</v>
      </c>
      <c r="U729">
        <v>736</v>
      </c>
      <c r="V729">
        <v>618</v>
      </c>
      <c r="W729">
        <v>0</v>
      </c>
      <c r="X729">
        <v>0</v>
      </c>
      <c r="Y729">
        <v>69</v>
      </c>
      <c r="Z729">
        <v>67</v>
      </c>
      <c r="AA729">
        <v>0</v>
      </c>
      <c r="AB729">
        <v>0</v>
      </c>
      <c r="AC729">
        <v>39</v>
      </c>
      <c r="AD729">
        <v>19</v>
      </c>
      <c r="AG729" t="s">
        <v>223</v>
      </c>
      <c r="AH729" t="s">
        <v>435</v>
      </c>
      <c r="AI729">
        <v>382</v>
      </c>
      <c r="AJ729">
        <v>140</v>
      </c>
      <c r="AK729">
        <v>102</v>
      </c>
      <c r="AL729">
        <v>11</v>
      </c>
      <c r="AM729">
        <v>2</v>
      </c>
      <c r="AN729" t="s">
        <v>49</v>
      </c>
      <c r="AO729">
        <v>0.83967391304347827</v>
      </c>
      <c r="AP729">
        <v>209</v>
      </c>
    </row>
    <row r="730" spans="1:42" x14ac:dyDescent="0.35">
      <c r="A730">
        <v>97911</v>
      </c>
      <c r="B730">
        <v>8619</v>
      </c>
      <c r="C730">
        <v>950940</v>
      </c>
      <c r="D730">
        <v>512</v>
      </c>
      <c r="E730" s="147">
        <v>44207</v>
      </c>
      <c r="F730" t="s">
        <v>523</v>
      </c>
      <c r="G730" t="s">
        <v>75</v>
      </c>
      <c r="H730" s="147">
        <v>44213</v>
      </c>
      <c r="I730">
        <v>7</v>
      </c>
      <c r="J730" t="s">
        <v>197</v>
      </c>
      <c r="L730">
        <v>0</v>
      </c>
      <c r="M730">
        <v>0</v>
      </c>
      <c r="U730">
        <v>373</v>
      </c>
      <c r="V730">
        <v>344</v>
      </c>
      <c r="W730">
        <v>0</v>
      </c>
      <c r="X730">
        <v>0</v>
      </c>
      <c r="Y730">
        <v>25</v>
      </c>
      <c r="Z730">
        <v>24</v>
      </c>
      <c r="AA730">
        <v>0</v>
      </c>
      <c r="AB730">
        <v>0</v>
      </c>
      <c r="AC730">
        <v>5</v>
      </c>
      <c r="AD730">
        <v>4</v>
      </c>
      <c r="AG730" t="s">
        <v>223</v>
      </c>
      <c r="AH730" t="s">
        <v>435</v>
      </c>
      <c r="AI730">
        <v>139</v>
      </c>
      <c r="AJ730">
        <v>46</v>
      </c>
      <c r="AK730">
        <v>72</v>
      </c>
      <c r="AL730">
        <v>2</v>
      </c>
      <c r="AM730">
        <v>3</v>
      </c>
      <c r="AN730" t="s">
        <v>49</v>
      </c>
      <c r="AO730">
        <v>0.92225201072386054</v>
      </c>
      <c r="AP730">
        <v>83</v>
      </c>
    </row>
    <row r="731" spans="1:42" x14ac:dyDescent="0.35">
      <c r="A731">
        <v>97913</v>
      </c>
      <c r="B731">
        <v>8619</v>
      </c>
      <c r="C731">
        <v>950942</v>
      </c>
      <c r="D731">
        <v>469</v>
      </c>
      <c r="E731" s="147">
        <v>44207</v>
      </c>
      <c r="F731" t="s">
        <v>559</v>
      </c>
      <c r="G731" t="s">
        <v>88</v>
      </c>
      <c r="H731" s="147">
        <v>44213</v>
      </c>
      <c r="I731">
        <v>7</v>
      </c>
      <c r="J731" t="s">
        <v>197</v>
      </c>
      <c r="L731">
        <v>0</v>
      </c>
      <c r="M731">
        <v>0</v>
      </c>
      <c r="U731">
        <v>946</v>
      </c>
      <c r="V731">
        <v>814</v>
      </c>
      <c r="W731">
        <v>0</v>
      </c>
      <c r="X731">
        <v>0</v>
      </c>
      <c r="Y731">
        <v>49</v>
      </c>
      <c r="Z731">
        <v>42</v>
      </c>
      <c r="AA731">
        <v>0</v>
      </c>
      <c r="AB731">
        <v>0</v>
      </c>
      <c r="AC731">
        <v>39</v>
      </c>
      <c r="AD731">
        <v>20</v>
      </c>
      <c r="AG731" t="s">
        <v>223</v>
      </c>
      <c r="AH731" t="s">
        <v>435</v>
      </c>
      <c r="AI731">
        <v>364</v>
      </c>
      <c r="AJ731">
        <v>93</v>
      </c>
      <c r="AK731">
        <v>143</v>
      </c>
      <c r="AL731">
        <v>6</v>
      </c>
      <c r="AM731">
        <v>1</v>
      </c>
      <c r="AN731" t="s">
        <v>49</v>
      </c>
      <c r="AO731">
        <v>0.86046511627906974</v>
      </c>
      <c r="AP731">
        <v>177</v>
      </c>
    </row>
    <row r="732" spans="1:42" x14ac:dyDescent="0.35">
      <c r="A732">
        <v>97914</v>
      </c>
      <c r="B732">
        <v>8619</v>
      </c>
      <c r="C732">
        <v>950943</v>
      </c>
      <c r="D732">
        <v>502</v>
      </c>
      <c r="E732" s="147">
        <v>44207</v>
      </c>
      <c r="F732" t="s">
        <v>592</v>
      </c>
      <c r="G732" t="s">
        <v>90</v>
      </c>
      <c r="H732" s="147">
        <v>44213</v>
      </c>
      <c r="I732">
        <v>7</v>
      </c>
      <c r="J732" t="s">
        <v>197</v>
      </c>
      <c r="L732">
        <v>0</v>
      </c>
      <c r="M732">
        <v>0</v>
      </c>
      <c r="U732">
        <v>758</v>
      </c>
      <c r="V732">
        <v>681</v>
      </c>
      <c r="W732">
        <v>0</v>
      </c>
      <c r="X732">
        <v>0</v>
      </c>
      <c r="Y732">
        <v>31</v>
      </c>
      <c r="Z732">
        <v>28</v>
      </c>
      <c r="AA732">
        <v>0</v>
      </c>
      <c r="AB732">
        <v>0</v>
      </c>
      <c r="AC732">
        <v>12</v>
      </c>
      <c r="AD732">
        <v>2</v>
      </c>
      <c r="AG732" t="s">
        <v>223</v>
      </c>
      <c r="AH732" t="s">
        <v>435</v>
      </c>
      <c r="AI732">
        <v>340</v>
      </c>
      <c r="AJ732">
        <v>116</v>
      </c>
      <c r="AK732">
        <v>93</v>
      </c>
      <c r="AL732">
        <v>10</v>
      </c>
      <c r="AM732">
        <v>18</v>
      </c>
      <c r="AN732" t="s">
        <v>49</v>
      </c>
      <c r="AO732">
        <v>0.89841688654353558</v>
      </c>
      <c r="AP732">
        <v>192</v>
      </c>
    </row>
    <row r="733" spans="1:42" x14ac:dyDescent="0.35">
      <c r="A733">
        <v>97919</v>
      </c>
      <c r="B733">
        <v>8619</v>
      </c>
      <c r="C733">
        <v>950948</v>
      </c>
      <c r="D733">
        <v>421</v>
      </c>
      <c r="E733" s="147">
        <v>44207</v>
      </c>
      <c r="F733" t="s">
        <v>593</v>
      </c>
      <c r="G733" t="s">
        <v>112</v>
      </c>
      <c r="H733" s="147">
        <v>44213</v>
      </c>
      <c r="I733">
        <v>7</v>
      </c>
      <c r="J733" t="s">
        <v>197</v>
      </c>
      <c r="L733">
        <v>0</v>
      </c>
      <c r="M733">
        <v>0</v>
      </c>
      <c r="U733">
        <v>477</v>
      </c>
      <c r="V733">
        <v>420</v>
      </c>
      <c r="W733">
        <v>0</v>
      </c>
      <c r="X733">
        <v>0</v>
      </c>
      <c r="Y733">
        <v>34</v>
      </c>
      <c r="Z733">
        <v>27</v>
      </c>
      <c r="AA733">
        <v>0</v>
      </c>
      <c r="AB733">
        <v>0</v>
      </c>
      <c r="AC733">
        <v>20</v>
      </c>
      <c r="AD733">
        <v>8</v>
      </c>
      <c r="AG733" t="s">
        <v>223</v>
      </c>
      <c r="AH733" t="s">
        <v>435</v>
      </c>
      <c r="AI733">
        <v>186</v>
      </c>
      <c r="AJ733">
        <v>44</v>
      </c>
      <c r="AK733">
        <v>108</v>
      </c>
      <c r="AL733">
        <v>12</v>
      </c>
      <c r="AM733">
        <v>11</v>
      </c>
      <c r="AN733" t="s">
        <v>49</v>
      </c>
      <c r="AO733">
        <v>0.88050314465408808</v>
      </c>
      <c r="AP733">
        <v>83</v>
      </c>
    </row>
    <row r="734" spans="1:42" x14ac:dyDescent="0.35">
      <c r="A734">
        <v>97928</v>
      </c>
      <c r="B734">
        <v>8619</v>
      </c>
      <c r="C734">
        <v>950957</v>
      </c>
      <c r="D734">
        <v>451</v>
      </c>
      <c r="E734" s="147">
        <v>44207</v>
      </c>
      <c r="F734" t="s">
        <v>594</v>
      </c>
      <c r="G734" t="s">
        <v>95</v>
      </c>
      <c r="H734" s="147">
        <v>44213</v>
      </c>
      <c r="I734">
        <v>7</v>
      </c>
      <c r="J734" t="s">
        <v>197</v>
      </c>
      <c r="L734">
        <v>0</v>
      </c>
      <c r="M734">
        <v>0</v>
      </c>
      <c r="U734">
        <v>803</v>
      </c>
      <c r="V734">
        <v>728</v>
      </c>
      <c r="W734">
        <v>0</v>
      </c>
      <c r="X734">
        <v>0</v>
      </c>
      <c r="Y734">
        <v>26</v>
      </c>
      <c r="Z734">
        <v>25</v>
      </c>
      <c r="AA734">
        <v>0</v>
      </c>
      <c r="AB734">
        <v>0</v>
      </c>
      <c r="AC734">
        <v>12</v>
      </c>
      <c r="AD734">
        <v>4</v>
      </c>
      <c r="AG734" t="s">
        <v>224</v>
      </c>
      <c r="AH734" t="s">
        <v>435</v>
      </c>
      <c r="AI734">
        <v>380</v>
      </c>
      <c r="AJ734">
        <v>121</v>
      </c>
      <c r="AK734">
        <v>111</v>
      </c>
      <c r="AL734">
        <v>4</v>
      </c>
      <c r="AM734">
        <v>3</v>
      </c>
      <c r="AN734" t="s">
        <v>49</v>
      </c>
      <c r="AO734">
        <v>0.90660024906600245</v>
      </c>
      <c r="AP734">
        <v>209</v>
      </c>
    </row>
    <row r="735" spans="1:42" x14ac:dyDescent="0.35">
      <c r="A735">
        <v>97934</v>
      </c>
      <c r="B735">
        <v>8619</v>
      </c>
      <c r="C735">
        <v>950963</v>
      </c>
      <c r="D735">
        <v>337</v>
      </c>
      <c r="E735" s="147">
        <v>44207</v>
      </c>
      <c r="F735" t="s">
        <v>595</v>
      </c>
      <c r="G735" t="s">
        <v>132</v>
      </c>
      <c r="H735" s="147">
        <v>44213</v>
      </c>
      <c r="I735">
        <v>7</v>
      </c>
      <c r="J735" t="s">
        <v>197</v>
      </c>
      <c r="L735">
        <v>0</v>
      </c>
      <c r="M735">
        <v>0</v>
      </c>
      <c r="U735">
        <v>538</v>
      </c>
      <c r="V735">
        <v>417</v>
      </c>
      <c r="W735">
        <v>0</v>
      </c>
      <c r="X735">
        <v>0</v>
      </c>
      <c r="Y735">
        <v>18</v>
      </c>
      <c r="Z735">
        <v>18</v>
      </c>
      <c r="AA735">
        <v>0</v>
      </c>
      <c r="AB735">
        <v>0</v>
      </c>
      <c r="AC735">
        <v>7</v>
      </c>
      <c r="AD735">
        <v>2</v>
      </c>
      <c r="AG735" t="s">
        <v>224</v>
      </c>
      <c r="AH735" t="s">
        <v>435</v>
      </c>
      <c r="AI735">
        <v>218</v>
      </c>
      <c r="AJ735">
        <v>66</v>
      </c>
      <c r="AK735">
        <v>80</v>
      </c>
      <c r="AL735">
        <v>6</v>
      </c>
      <c r="AM735">
        <v>2</v>
      </c>
      <c r="AN735" t="s">
        <v>49</v>
      </c>
      <c r="AO735">
        <v>0.77509293680297398</v>
      </c>
      <c r="AP735">
        <v>113</v>
      </c>
    </row>
    <row r="736" spans="1:42" x14ac:dyDescent="0.35">
      <c r="A736">
        <v>97939</v>
      </c>
      <c r="B736">
        <v>8619</v>
      </c>
      <c r="C736">
        <v>950968</v>
      </c>
      <c r="D736">
        <v>25513</v>
      </c>
      <c r="E736" s="147">
        <v>44207</v>
      </c>
      <c r="F736" t="s">
        <v>596</v>
      </c>
      <c r="G736" t="s">
        <v>437</v>
      </c>
      <c r="H736" s="147">
        <v>44213</v>
      </c>
      <c r="I736">
        <v>7</v>
      </c>
      <c r="J736" t="s">
        <v>197</v>
      </c>
      <c r="L736">
        <v>0</v>
      </c>
      <c r="M736">
        <v>0</v>
      </c>
      <c r="U736">
        <v>1025</v>
      </c>
      <c r="V736">
        <v>930</v>
      </c>
      <c r="W736">
        <v>0</v>
      </c>
      <c r="X736">
        <v>0</v>
      </c>
      <c r="Y736">
        <v>41</v>
      </c>
      <c r="Z736">
        <v>41</v>
      </c>
      <c r="AA736">
        <v>0</v>
      </c>
      <c r="AB736">
        <v>0</v>
      </c>
      <c r="AC736">
        <v>20</v>
      </c>
      <c r="AD736">
        <v>13</v>
      </c>
      <c r="AG736" t="s">
        <v>224</v>
      </c>
      <c r="AH736" t="s">
        <v>435</v>
      </c>
      <c r="AI736">
        <v>464</v>
      </c>
      <c r="AJ736">
        <v>147</v>
      </c>
      <c r="AK736">
        <v>136</v>
      </c>
      <c r="AL736">
        <v>9</v>
      </c>
      <c r="AM736">
        <v>7</v>
      </c>
      <c r="AN736" t="s">
        <v>49</v>
      </c>
      <c r="AO736">
        <v>0.90731707317073174</v>
      </c>
      <c r="AP736">
        <v>265</v>
      </c>
    </row>
    <row r="737" spans="1:42" x14ac:dyDescent="0.35">
      <c r="A737">
        <v>97940</v>
      </c>
      <c r="B737">
        <v>8619</v>
      </c>
      <c r="C737">
        <v>950969</v>
      </c>
      <c r="D737">
        <v>388</v>
      </c>
      <c r="E737" s="147">
        <v>44207</v>
      </c>
      <c r="F737" t="s">
        <v>554</v>
      </c>
      <c r="G737" t="s">
        <v>222</v>
      </c>
      <c r="H737" s="147">
        <v>44213</v>
      </c>
      <c r="I737">
        <v>7</v>
      </c>
      <c r="J737" t="s">
        <v>197</v>
      </c>
      <c r="L737">
        <v>0</v>
      </c>
      <c r="M737">
        <v>0</v>
      </c>
      <c r="U737">
        <v>826</v>
      </c>
      <c r="V737">
        <v>725</v>
      </c>
      <c r="W737">
        <v>0</v>
      </c>
      <c r="X737">
        <v>0</v>
      </c>
      <c r="Y737">
        <v>44</v>
      </c>
      <c r="Z737">
        <v>38</v>
      </c>
      <c r="AA737">
        <v>0</v>
      </c>
      <c r="AB737">
        <v>0</v>
      </c>
      <c r="AC737">
        <v>15</v>
      </c>
      <c r="AD737">
        <v>15</v>
      </c>
      <c r="AG737" t="s">
        <v>224</v>
      </c>
      <c r="AH737" t="s">
        <v>435</v>
      </c>
      <c r="AI737">
        <v>340</v>
      </c>
      <c r="AJ737">
        <v>86</v>
      </c>
      <c r="AK737">
        <v>106</v>
      </c>
      <c r="AL737">
        <v>9</v>
      </c>
      <c r="AM737">
        <v>1</v>
      </c>
      <c r="AN737" t="s">
        <v>49</v>
      </c>
      <c r="AO737">
        <v>0.87772397094430987</v>
      </c>
      <c r="AP737">
        <v>172</v>
      </c>
    </row>
    <row r="738" spans="1:42" x14ac:dyDescent="0.35">
      <c r="A738">
        <v>97101</v>
      </c>
      <c r="B738">
        <v>8619</v>
      </c>
      <c r="C738">
        <v>950130</v>
      </c>
      <c r="D738">
        <v>380</v>
      </c>
      <c r="E738" s="147">
        <v>44207</v>
      </c>
      <c r="F738" t="s">
        <v>597</v>
      </c>
      <c r="G738" t="s">
        <v>162</v>
      </c>
      <c r="H738" s="147">
        <v>44207</v>
      </c>
      <c r="I738">
        <v>7</v>
      </c>
      <c r="J738" t="s">
        <v>195</v>
      </c>
      <c r="L738">
        <v>0</v>
      </c>
      <c r="M738">
        <v>0</v>
      </c>
      <c r="U738">
        <v>1269</v>
      </c>
      <c r="V738">
        <v>1029</v>
      </c>
      <c r="W738">
        <v>0</v>
      </c>
      <c r="X738">
        <v>0</v>
      </c>
      <c r="Y738">
        <v>62</v>
      </c>
      <c r="Z738">
        <v>51</v>
      </c>
      <c r="AA738">
        <v>6</v>
      </c>
      <c r="AB738">
        <v>0</v>
      </c>
      <c r="AC738">
        <v>12</v>
      </c>
      <c r="AD738">
        <v>12</v>
      </c>
      <c r="AG738" t="s">
        <v>226</v>
      </c>
      <c r="AH738" t="s">
        <v>435</v>
      </c>
      <c r="AI738">
        <v>489</v>
      </c>
      <c r="AJ738">
        <v>136</v>
      </c>
      <c r="AK738">
        <v>176</v>
      </c>
      <c r="AL738">
        <v>0</v>
      </c>
      <c r="AM738">
        <v>0</v>
      </c>
      <c r="AN738" t="s">
        <v>49</v>
      </c>
      <c r="AO738">
        <v>0.81087470449172572</v>
      </c>
      <c r="AP738">
        <v>254</v>
      </c>
    </row>
    <row r="739" spans="1:42" x14ac:dyDescent="0.35">
      <c r="A739">
        <v>97228</v>
      </c>
      <c r="B739">
        <v>8619</v>
      </c>
      <c r="C739">
        <v>950257</v>
      </c>
      <c r="D739">
        <v>380</v>
      </c>
      <c r="E739" s="147">
        <v>44207</v>
      </c>
      <c r="F739" t="s">
        <v>597</v>
      </c>
      <c r="G739" t="s">
        <v>162</v>
      </c>
      <c r="H739" s="147">
        <v>44208</v>
      </c>
      <c r="I739">
        <v>7</v>
      </c>
      <c r="J739" t="s">
        <v>199</v>
      </c>
      <c r="L739">
        <v>0</v>
      </c>
      <c r="M739">
        <v>0</v>
      </c>
      <c r="U739">
        <v>1269</v>
      </c>
      <c r="V739">
        <v>1041</v>
      </c>
      <c r="W739">
        <v>0</v>
      </c>
      <c r="X739">
        <v>0</v>
      </c>
      <c r="Y739">
        <v>62</v>
      </c>
      <c r="Z739">
        <v>53</v>
      </c>
      <c r="AA739">
        <v>6</v>
      </c>
      <c r="AB739">
        <v>0</v>
      </c>
      <c r="AC739">
        <v>12</v>
      </c>
      <c r="AD739">
        <v>10</v>
      </c>
      <c r="AG739" t="s">
        <v>226</v>
      </c>
      <c r="AH739" t="s">
        <v>435</v>
      </c>
      <c r="AI739">
        <v>517</v>
      </c>
      <c r="AJ739">
        <v>132</v>
      </c>
      <c r="AK739">
        <v>166</v>
      </c>
      <c r="AL739">
        <v>0</v>
      </c>
      <c r="AM739">
        <v>0</v>
      </c>
      <c r="AN739" t="s">
        <v>49</v>
      </c>
      <c r="AO739">
        <v>0.82033096926713944</v>
      </c>
      <c r="AP739">
        <v>256</v>
      </c>
    </row>
    <row r="740" spans="1:42" x14ac:dyDescent="0.35">
      <c r="A740">
        <v>97355</v>
      </c>
      <c r="B740">
        <v>8619</v>
      </c>
      <c r="C740">
        <v>950384</v>
      </c>
      <c r="D740">
        <v>380</v>
      </c>
      <c r="E740" s="147">
        <v>44207</v>
      </c>
      <c r="F740" t="s">
        <v>597</v>
      </c>
      <c r="G740" t="s">
        <v>162</v>
      </c>
      <c r="H740" s="147">
        <v>44209</v>
      </c>
      <c r="I740">
        <v>7</v>
      </c>
      <c r="J740" t="s">
        <v>200</v>
      </c>
      <c r="L740">
        <v>0</v>
      </c>
      <c r="M740">
        <v>0</v>
      </c>
      <c r="U740">
        <v>1269</v>
      </c>
      <c r="V740">
        <v>1000</v>
      </c>
      <c r="W740">
        <v>0</v>
      </c>
      <c r="X740">
        <v>0</v>
      </c>
      <c r="Y740">
        <v>62</v>
      </c>
      <c r="Z740">
        <v>50</v>
      </c>
      <c r="AA740">
        <v>6</v>
      </c>
      <c r="AB740">
        <v>0</v>
      </c>
      <c r="AC740">
        <v>12</v>
      </c>
      <c r="AD740">
        <v>11</v>
      </c>
      <c r="AG740" t="s">
        <v>226</v>
      </c>
      <c r="AH740" t="s">
        <v>435</v>
      </c>
      <c r="AI740">
        <v>510</v>
      </c>
      <c r="AJ740">
        <v>133</v>
      </c>
      <c r="AK740">
        <v>176</v>
      </c>
      <c r="AL740">
        <v>0</v>
      </c>
      <c r="AM740">
        <v>0</v>
      </c>
      <c r="AN740" t="s">
        <v>49</v>
      </c>
      <c r="AO740">
        <v>0.78802206461780933</v>
      </c>
      <c r="AP740">
        <v>252</v>
      </c>
    </row>
    <row r="741" spans="1:42" x14ac:dyDescent="0.35">
      <c r="A741">
        <v>97482</v>
      </c>
      <c r="B741">
        <v>8619</v>
      </c>
      <c r="C741">
        <v>950511</v>
      </c>
      <c r="D741">
        <v>380</v>
      </c>
      <c r="E741" s="147">
        <v>44207</v>
      </c>
      <c r="F741" t="s">
        <v>597</v>
      </c>
      <c r="G741" t="s">
        <v>162</v>
      </c>
      <c r="H741" s="147">
        <v>44210</v>
      </c>
      <c r="I741">
        <v>7</v>
      </c>
      <c r="J741" t="s">
        <v>198</v>
      </c>
      <c r="L741">
        <v>0</v>
      </c>
      <c r="M741">
        <v>0</v>
      </c>
      <c r="U741">
        <v>1269</v>
      </c>
      <c r="V741">
        <v>1011</v>
      </c>
      <c r="W741">
        <v>0</v>
      </c>
      <c r="X741">
        <v>0</v>
      </c>
      <c r="Y741">
        <v>61</v>
      </c>
      <c r="Z741">
        <v>47</v>
      </c>
      <c r="AA741">
        <v>6</v>
      </c>
      <c r="AB741">
        <v>0</v>
      </c>
      <c r="AC741">
        <v>12</v>
      </c>
      <c r="AD741">
        <v>11</v>
      </c>
      <c r="AG741" t="s">
        <v>226</v>
      </c>
      <c r="AH741" t="s">
        <v>435</v>
      </c>
      <c r="AI741">
        <v>486</v>
      </c>
      <c r="AJ741">
        <v>133</v>
      </c>
      <c r="AK741">
        <v>185</v>
      </c>
      <c r="AL741">
        <v>1</v>
      </c>
      <c r="AM741">
        <v>0</v>
      </c>
      <c r="AN741" t="s">
        <v>49</v>
      </c>
      <c r="AO741">
        <v>0.79669030732860524</v>
      </c>
      <c r="AP741">
        <v>238</v>
      </c>
    </row>
    <row r="742" spans="1:42" x14ac:dyDescent="0.35">
      <c r="A742">
        <v>97581</v>
      </c>
      <c r="B742">
        <v>8619</v>
      </c>
      <c r="C742">
        <v>950610</v>
      </c>
      <c r="D742">
        <v>535</v>
      </c>
      <c r="E742" s="147">
        <v>44207</v>
      </c>
      <c r="F742" t="s">
        <v>552</v>
      </c>
      <c r="G742" t="s">
        <v>101</v>
      </c>
      <c r="H742" s="147">
        <v>44211</v>
      </c>
      <c r="I742">
        <v>7</v>
      </c>
      <c r="J742" t="s">
        <v>194</v>
      </c>
      <c r="L742">
        <v>0</v>
      </c>
      <c r="M742">
        <v>0</v>
      </c>
      <c r="U742">
        <v>990</v>
      </c>
      <c r="V742">
        <v>775</v>
      </c>
      <c r="W742">
        <v>0</v>
      </c>
      <c r="X742">
        <v>0</v>
      </c>
      <c r="Y742">
        <v>133</v>
      </c>
      <c r="Z742">
        <v>130</v>
      </c>
      <c r="AA742">
        <v>4</v>
      </c>
      <c r="AB742">
        <v>0</v>
      </c>
      <c r="AC742">
        <v>46</v>
      </c>
      <c r="AD742">
        <v>27</v>
      </c>
      <c r="AG742" t="s">
        <v>1</v>
      </c>
      <c r="AH742" t="s">
        <v>435</v>
      </c>
      <c r="AI742">
        <v>440</v>
      </c>
      <c r="AJ742">
        <v>151</v>
      </c>
      <c r="AK742">
        <v>151</v>
      </c>
      <c r="AL742">
        <v>13</v>
      </c>
      <c r="AM742">
        <v>0</v>
      </c>
      <c r="AN742" t="s">
        <v>49</v>
      </c>
      <c r="AO742">
        <v>0.78282828282828287</v>
      </c>
      <c r="AP742">
        <v>211</v>
      </c>
    </row>
    <row r="743" spans="1:42" x14ac:dyDescent="0.35">
      <c r="A743">
        <v>97863</v>
      </c>
      <c r="B743">
        <v>8619</v>
      </c>
      <c r="C743">
        <v>950892</v>
      </c>
      <c r="D743">
        <v>380</v>
      </c>
      <c r="E743" s="147">
        <v>44207</v>
      </c>
      <c r="F743" t="s">
        <v>597</v>
      </c>
      <c r="G743" t="s">
        <v>162</v>
      </c>
      <c r="H743" s="147">
        <v>44213</v>
      </c>
      <c r="I743">
        <v>7</v>
      </c>
      <c r="J743" t="s">
        <v>197</v>
      </c>
      <c r="L743">
        <v>0</v>
      </c>
      <c r="M743">
        <v>0</v>
      </c>
      <c r="U743">
        <v>1269</v>
      </c>
      <c r="V743">
        <v>975</v>
      </c>
      <c r="W743">
        <v>0</v>
      </c>
      <c r="X743">
        <v>0</v>
      </c>
      <c r="Y743">
        <v>70</v>
      </c>
      <c r="Z743">
        <v>61</v>
      </c>
      <c r="AA743">
        <v>6</v>
      </c>
      <c r="AB743">
        <v>0</v>
      </c>
      <c r="AC743">
        <v>12</v>
      </c>
      <c r="AD743">
        <v>11</v>
      </c>
      <c r="AG743" t="s">
        <v>226</v>
      </c>
      <c r="AH743" t="s">
        <v>435</v>
      </c>
      <c r="AI743">
        <v>464</v>
      </c>
      <c r="AJ743">
        <v>124</v>
      </c>
      <c r="AK743">
        <v>160</v>
      </c>
      <c r="AL743">
        <v>11</v>
      </c>
      <c r="AM743">
        <v>0</v>
      </c>
      <c r="AN743" t="s">
        <v>49</v>
      </c>
      <c r="AO743">
        <v>0.76832151300236406</v>
      </c>
      <c r="AP743">
        <v>217</v>
      </c>
    </row>
    <row r="744" spans="1:42" x14ac:dyDescent="0.35">
      <c r="A744">
        <v>97575</v>
      </c>
      <c r="B744">
        <v>8619</v>
      </c>
      <c r="C744">
        <v>950604</v>
      </c>
      <c r="D744">
        <v>302</v>
      </c>
      <c r="E744" s="147">
        <v>44207</v>
      </c>
      <c r="F744" t="s">
        <v>598</v>
      </c>
      <c r="G744" t="s">
        <v>69</v>
      </c>
      <c r="H744" s="147">
        <v>44211</v>
      </c>
      <c r="I744">
        <v>7</v>
      </c>
      <c r="J744" t="s">
        <v>194</v>
      </c>
      <c r="L744">
        <v>0</v>
      </c>
      <c r="M744">
        <v>0</v>
      </c>
      <c r="U744">
        <v>1437</v>
      </c>
      <c r="V744">
        <v>1324</v>
      </c>
      <c r="W744">
        <v>0</v>
      </c>
      <c r="X744">
        <v>0</v>
      </c>
      <c r="Y744">
        <v>214</v>
      </c>
      <c r="Z744">
        <v>212</v>
      </c>
      <c r="AA744">
        <v>4</v>
      </c>
      <c r="AB744">
        <v>0</v>
      </c>
      <c r="AC744">
        <v>32</v>
      </c>
      <c r="AD744">
        <v>32</v>
      </c>
      <c r="AG744" t="s">
        <v>1</v>
      </c>
      <c r="AH744" t="s">
        <v>435</v>
      </c>
      <c r="AI744">
        <v>479</v>
      </c>
      <c r="AJ744">
        <v>173</v>
      </c>
      <c r="AK744">
        <v>198</v>
      </c>
      <c r="AL744">
        <v>13</v>
      </c>
      <c r="AM744">
        <v>8</v>
      </c>
      <c r="AN744" t="s">
        <v>49</v>
      </c>
      <c r="AO744">
        <v>0.9213639526791928</v>
      </c>
      <c r="AP744">
        <v>267</v>
      </c>
    </row>
    <row r="745" spans="1:42" x14ac:dyDescent="0.35">
      <c r="A745">
        <v>97609</v>
      </c>
      <c r="B745">
        <v>8619</v>
      </c>
      <c r="C745">
        <v>950638</v>
      </c>
      <c r="D745">
        <v>380</v>
      </c>
      <c r="E745" s="147">
        <v>44207</v>
      </c>
      <c r="F745" t="s">
        <v>597</v>
      </c>
      <c r="G745" t="s">
        <v>162</v>
      </c>
      <c r="H745" s="147">
        <v>44211</v>
      </c>
      <c r="I745">
        <v>7</v>
      </c>
      <c r="J745" t="s">
        <v>194</v>
      </c>
      <c r="L745">
        <v>0</v>
      </c>
      <c r="M745">
        <v>0</v>
      </c>
      <c r="U745">
        <v>1269</v>
      </c>
      <c r="V745">
        <v>1004</v>
      </c>
      <c r="W745">
        <v>0</v>
      </c>
      <c r="X745">
        <v>0</v>
      </c>
      <c r="Y745">
        <v>69</v>
      </c>
      <c r="Z745">
        <v>55</v>
      </c>
      <c r="AA745">
        <v>6</v>
      </c>
      <c r="AB745">
        <v>0</v>
      </c>
      <c r="AC745">
        <v>12</v>
      </c>
      <c r="AD745">
        <v>12</v>
      </c>
      <c r="AG745" t="s">
        <v>226</v>
      </c>
      <c r="AH745" t="s">
        <v>435</v>
      </c>
      <c r="AI745">
        <v>462</v>
      </c>
      <c r="AJ745">
        <v>130</v>
      </c>
      <c r="AK745">
        <v>197</v>
      </c>
      <c r="AL745">
        <v>45</v>
      </c>
      <c r="AM745">
        <v>8</v>
      </c>
      <c r="AN745" t="s">
        <v>49</v>
      </c>
      <c r="AO745">
        <v>0.79117415287628057</v>
      </c>
      <c r="AP745">
        <v>237</v>
      </c>
    </row>
    <row r="746" spans="1:42" x14ac:dyDescent="0.35">
      <c r="A746">
        <v>97702</v>
      </c>
      <c r="B746">
        <v>8619</v>
      </c>
      <c r="C746">
        <v>950731</v>
      </c>
      <c r="D746">
        <v>302</v>
      </c>
      <c r="E746" s="147">
        <v>44207</v>
      </c>
      <c r="F746" t="s">
        <v>598</v>
      </c>
      <c r="G746" t="s">
        <v>69</v>
      </c>
      <c r="H746" s="147">
        <v>44212</v>
      </c>
      <c r="I746">
        <v>7</v>
      </c>
      <c r="J746" t="s">
        <v>196</v>
      </c>
      <c r="L746">
        <v>0</v>
      </c>
      <c r="M746">
        <v>0</v>
      </c>
      <c r="U746">
        <v>1410</v>
      </c>
      <c r="V746">
        <v>1298</v>
      </c>
      <c r="W746">
        <v>0</v>
      </c>
      <c r="X746">
        <v>0</v>
      </c>
      <c r="Y746">
        <v>219</v>
      </c>
      <c r="Z746">
        <v>211</v>
      </c>
      <c r="AA746">
        <v>4</v>
      </c>
      <c r="AB746">
        <v>0</v>
      </c>
      <c r="AC746">
        <v>33</v>
      </c>
      <c r="AD746">
        <v>33</v>
      </c>
      <c r="AG746" t="s">
        <v>1</v>
      </c>
      <c r="AH746" t="s">
        <v>435</v>
      </c>
      <c r="AI746">
        <v>463</v>
      </c>
      <c r="AJ746">
        <v>172</v>
      </c>
      <c r="AK746">
        <v>206</v>
      </c>
      <c r="AL746">
        <v>10</v>
      </c>
      <c r="AM746">
        <v>4</v>
      </c>
      <c r="AN746" t="s">
        <v>49</v>
      </c>
      <c r="AO746">
        <v>0.92056737588652482</v>
      </c>
      <c r="AP746">
        <v>264</v>
      </c>
    </row>
    <row r="747" spans="1:42" x14ac:dyDescent="0.35">
      <c r="A747">
        <v>97736</v>
      </c>
      <c r="B747">
        <v>8619</v>
      </c>
      <c r="C747">
        <v>950765</v>
      </c>
      <c r="D747">
        <v>380</v>
      </c>
      <c r="E747" s="147">
        <v>44207</v>
      </c>
      <c r="F747" t="s">
        <v>597</v>
      </c>
      <c r="G747" t="s">
        <v>162</v>
      </c>
      <c r="H747" s="147">
        <v>44212</v>
      </c>
      <c r="I747">
        <v>7</v>
      </c>
      <c r="J747" t="s">
        <v>196</v>
      </c>
      <c r="L747">
        <v>0</v>
      </c>
      <c r="M747">
        <v>0</v>
      </c>
      <c r="U747">
        <v>1269</v>
      </c>
      <c r="V747">
        <v>973</v>
      </c>
      <c r="W747">
        <v>0</v>
      </c>
      <c r="X747">
        <v>0</v>
      </c>
      <c r="Y747">
        <v>70</v>
      </c>
      <c r="Z747">
        <v>63</v>
      </c>
      <c r="AA747">
        <v>6</v>
      </c>
      <c r="AB747">
        <v>0</v>
      </c>
      <c r="AC747">
        <v>12</v>
      </c>
      <c r="AD747">
        <v>11</v>
      </c>
      <c r="AG747" t="s">
        <v>226</v>
      </c>
      <c r="AH747" t="s">
        <v>435</v>
      </c>
      <c r="AI747">
        <v>455</v>
      </c>
      <c r="AJ747">
        <v>126</v>
      </c>
      <c r="AK747">
        <v>195</v>
      </c>
      <c r="AL747">
        <v>27</v>
      </c>
      <c r="AM747">
        <v>8</v>
      </c>
      <c r="AN747" t="s">
        <v>49</v>
      </c>
      <c r="AO747">
        <v>0.76674546887312844</v>
      </c>
      <c r="AP747">
        <v>220</v>
      </c>
    </row>
    <row r="748" spans="1:42" x14ac:dyDescent="0.35">
      <c r="A748">
        <v>97829</v>
      </c>
      <c r="B748">
        <v>8619</v>
      </c>
      <c r="C748">
        <v>950858</v>
      </c>
      <c r="D748">
        <v>302</v>
      </c>
      <c r="E748" s="147">
        <v>44207</v>
      </c>
      <c r="F748" t="s">
        <v>598</v>
      </c>
      <c r="G748" t="s">
        <v>69</v>
      </c>
      <c r="H748" s="147">
        <v>44213</v>
      </c>
      <c r="I748">
        <v>7</v>
      </c>
      <c r="J748" t="s">
        <v>197</v>
      </c>
      <c r="L748">
        <v>0</v>
      </c>
      <c r="M748">
        <v>0</v>
      </c>
      <c r="U748">
        <v>1415</v>
      </c>
      <c r="V748">
        <v>1316</v>
      </c>
      <c r="W748">
        <v>0</v>
      </c>
      <c r="X748">
        <v>0</v>
      </c>
      <c r="Y748">
        <v>216</v>
      </c>
      <c r="Z748">
        <v>202</v>
      </c>
      <c r="AA748">
        <v>4</v>
      </c>
      <c r="AB748">
        <v>0</v>
      </c>
      <c r="AC748">
        <v>36</v>
      </c>
      <c r="AD748">
        <v>36</v>
      </c>
      <c r="AG748" t="s">
        <v>1</v>
      </c>
      <c r="AH748" t="s">
        <v>435</v>
      </c>
      <c r="AI748">
        <v>474</v>
      </c>
      <c r="AJ748">
        <v>172</v>
      </c>
      <c r="AK748">
        <v>214</v>
      </c>
      <c r="AL748">
        <v>11</v>
      </c>
      <c r="AM748">
        <v>7</v>
      </c>
      <c r="AN748" t="s">
        <v>49</v>
      </c>
      <c r="AO748">
        <v>0.93003533568904595</v>
      </c>
      <c r="AP748">
        <v>265</v>
      </c>
    </row>
    <row r="749" spans="1:42" x14ac:dyDescent="0.35">
      <c r="A749">
        <v>97054</v>
      </c>
      <c r="B749">
        <v>8619</v>
      </c>
      <c r="C749">
        <v>950083</v>
      </c>
      <c r="D749">
        <v>364</v>
      </c>
      <c r="E749" s="147">
        <v>44207</v>
      </c>
      <c r="F749" t="s">
        <v>599</v>
      </c>
      <c r="G749" t="s">
        <v>77</v>
      </c>
      <c r="H749" s="147">
        <v>44207</v>
      </c>
      <c r="I749">
        <v>7</v>
      </c>
      <c r="J749" t="s">
        <v>195</v>
      </c>
      <c r="L749">
        <v>0</v>
      </c>
      <c r="M749">
        <v>0</v>
      </c>
      <c r="U749">
        <v>825</v>
      </c>
      <c r="V749">
        <v>737</v>
      </c>
      <c r="W749">
        <v>0</v>
      </c>
      <c r="X749">
        <v>0</v>
      </c>
      <c r="Y749">
        <v>102</v>
      </c>
      <c r="Z749">
        <v>88</v>
      </c>
      <c r="AA749">
        <v>9</v>
      </c>
      <c r="AB749">
        <v>2</v>
      </c>
      <c r="AC749">
        <v>49</v>
      </c>
      <c r="AD749">
        <v>34</v>
      </c>
      <c r="AG749" t="s">
        <v>291</v>
      </c>
      <c r="AH749" t="s">
        <v>435</v>
      </c>
      <c r="AI749">
        <v>377</v>
      </c>
      <c r="AJ749">
        <v>154</v>
      </c>
      <c r="AK749">
        <v>57</v>
      </c>
      <c r="AL749">
        <v>17</v>
      </c>
      <c r="AM749">
        <v>10</v>
      </c>
      <c r="AN749" t="s">
        <v>49</v>
      </c>
      <c r="AO749">
        <v>0.89333333333333331</v>
      </c>
      <c r="AP749">
        <v>237</v>
      </c>
    </row>
    <row r="750" spans="1:42" x14ac:dyDescent="0.35">
      <c r="A750">
        <v>97067</v>
      </c>
      <c r="B750">
        <v>8619</v>
      </c>
      <c r="C750">
        <v>950096</v>
      </c>
      <c r="D750">
        <v>302</v>
      </c>
      <c r="E750" s="147">
        <v>44207</v>
      </c>
      <c r="F750" t="s">
        <v>598</v>
      </c>
      <c r="G750" t="s">
        <v>69</v>
      </c>
      <c r="H750" s="147">
        <v>44207</v>
      </c>
      <c r="I750">
        <v>7</v>
      </c>
      <c r="J750" t="s">
        <v>195</v>
      </c>
      <c r="L750">
        <v>0</v>
      </c>
      <c r="M750">
        <v>0</v>
      </c>
      <c r="U750">
        <v>1421</v>
      </c>
      <c r="V750">
        <v>1319</v>
      </c>
      <c r="W750">
        <v>0</v>
      </c>
      <c r="X750">
        <v>0</v>
      </c>
      <c r="Y750">
        <v>201</v>
      </c>
      <c r="Z750">
        <v>193</v>
      </c>
      <c r="AA750">
        <v>4</v>
      </c>
      <c r="AB750">
        <v>4</v>
      </c>
      <c r="AC750">
        <v>29</v>
      </c>
      <c r="AD750">
        <v>23</v>
      </c>
      <c r="AG750" t="s">
        <v>1</v>
      </c>
      <c r="AH750" t="s">
        <v>435</v>
      </c>
      <c r="AI750">
        <v>485</v>
      </c>
      <c r="AJ750">
        <v>186</v>
      </c>
      <c r="AK750">
        <v>178</v>
      </c>
      <c r="AL750">
        <v>32</v>
      </c>
      <c r="AM750">
        <v>2</v>
      </c>
      <c r="AN750" t="s">
        <v>49</v>
      </c>
      <c r="AO750">
        <v>0.92821956368754399</v>
      </c>
      <c r="AP750">
        <v>285</v>
      </c>
    </row>
    <row r="751" spans="1:42" x14ac:dyDescent="0.35">
      <c r="A751">
        <v>97080</v>
      </c>
      <c r="B751">
        <v>8619</v>
      </c>
      <c r="C751">
        <v>950109</v>
      </c>
      <c r="D751">
        <v>376</v>
      </c>
      <c r="E751" s="147">
        <v>44207</v>
      </c>
      <c r="F751" t="s">
        <v>600</v>
      </c>
      <c r="G751" t="s">
        <v>143</v>
      </c>
      <c r="H751" s="147">
        <v>44207</v>
      </c>
      <c r="I751">
        <v>7</v>
      </c>
      <c r="J751" t="s">
        <v>195</v>
      </c>
      <c r="L751">
        <v>0</v>
      </c>
      <c r="M751">
        <v>0</v>
      </c>
      <c r="U751">
        <v>755</v>
      </c>
      <c r="V751">
        <v>689</v>
      </c>
      <c r="W751">
        <v>0</v>
      </c>
      <c r="X751">
        <v>0</v>
      </c>
      <c r="Y751">
        <v>129</v>
      </c>
      <c r="Z751">
        <v>99</v>
      </c>
      <c r="AA751">
        <v>10</v>
      </c>
      <c r="AB751">
        <v>5</v>
      </c>
      <c r="AC751">
        <v>39</v>
      </c>
      <c r="AD751">
        <v>29</v>
      </c>
      <c r="AG751" t="s">
        <v>1</v>
      </c>
      <c r="AH751" t="s">
        <v>435</v>
      </c>
      <c r="AI751">
        <v>322</v>
      </c>
      <c r="AJ751">
        <v>129</v>
      </c>
      <c r="AK751">
        <v>96</v>
      </c>
      <c r="AL751">
        <v>20</v>
      </c>
      <c r="AM751">
        <v>3</v>
      </c>
      <c r="AN751" t="s">
        <v>49</v>
      </c>
      <c r="AO751">
        <v>0.9125827814569536</v>
      </c>
      <c r="AP751">
        <v>187</v>
      </c>
    </row>
    <row r="752" spans="1:42" x14ac:dyDescent="0.35">
      <c r="A752">
        <v>97100</v>
      </c>
      <c r="B752">
        <v>8619</v>
      </c>
      <c r="C752">
        <v>950129</v>
      </c>
      <c r="D752">
        <v>479</v>
      </c>
      <c r="E752" s="147">
        <v>44207</v>
      </c>
      <c r="F752" t="s">
        <v>601</v>
      </c>
      <c r="G752" t="s">
        <v>160</v>
      </c>
      <c r="H752" s="147">
        <v>44207</v>
      </c>
      <c r="I752">
        <v>7</v>
      </c>
      <c r="J752" t="s">
        <v>195</v>
      </c>
      <c r="L752">
        <v>0</v>
      </c>
      <c r="M752">
        <v>0</v>
      </c>
      <c r="U752">
        <v>1535</v>
      </c>
      <c r="V752">
        <v>1309</v>
      </c>
      <c r="W752">
        <v>0</v>
      </c>
      <c r="X752">
        <v>0</v>
      </c>
      <c r="Y752">
        <v>77</v>
      </c>
      <c r="Z752">
        <v>62</v>
      </c>
      <c r="AA752">
        <v>13</v>
      </c>
      <c r="AB752">
        <v>10</v>
      </c>
      <c r="AC752">
        <v>42</v>
      </c>
      <c r="AD752">
        <v>30</v>
      </c>
      <c r="AG752" t="s">
        <v>226</v>
      </c>
      <c r="AH752" t="s">
        <v>435</v>
      </c>
      <c r="AI752">
        <v>549</v>
      </c>
      <c r="AJ752">
        <v>162</v>
      </c>
      <c r="AK752">
        <v>160</v>
      </c>
      <c r="AL752">
        <v>26</v>
      </c>
      <c r="AM752">
        <v>20</v>
      </c>
      <c r="AN752" t="s">
        <v>49</v>
      </c>
      <c r="AO752">
        <v>0.85276872964169381</v>
      </c>
      <c r="AP752">
        <v>281</v>
      </c>
    </row>
    <row r="753" spans="1:42" x14ac:dyDescent="0.35">
      <c r="A753">
        <v>97158</v>
      </c>
      <c r="B753">
        <v>8619</v>
      </c>
      <c r="C753">
        <v>950187</v>
      </c>
      <c r="D753">
        <v>454</v>
      </c>
      <c r="E753" s="147">
        <v>44207</v>
      </c>
      <c r="F753" t="s">
        <v>602</v>
      </c>
      <c r="G753" t="s">
        <v>126</v>
      </c>
      <c r="H753" s="147">
        <v>44207</v>
      </c>
      <c r="I753">
        <v>7</v>
      </c>
      <c r="J753" t="s">
        <v>195</v>
      </c>
      <c r="L753">
        <v>0</v>
      </c>
      <c r="M753">
        <v>0</v>
      </c>
      <c r="U753">
        <v>924</v>
      </c>
      <c r="V753">
        <v>796</v>
      </c>
      <c r="W753">
        <v>0</v>
      </c>
      <c r="X753">
        <v>0</v>
      </c>
      <c r="Y753">
        <v>68</v>
      </c>
      <c r="Z753">
        <v>66</v>
      </c>
      <c r="AA753">
        <v>12</v>
      </c>
      <c r="AB753">
        <v>9</v>
      </c>
      <c r="AC753">
        <v>30</v>
      </c>
      <c r="AD753">
        <v>28</v>
      </c>
      <c r="AG753" t="s">
        <v>223</v>
      </c>
      <c r="AH753" t="s">
        <v>435</v>
      </c>
      <c r="AI753">
        <v>288</v>
      </c>
      <c r="AJ753">
        <v>92</v>
      </c>
      <c r="AK753">
        <v>93</v>
      </c>
      <c r="AL753">
        <v>0</v>
      </c>
      <c r="AM753">
        <v>2</v>
      </c>
      <c r="AN753" t="s">
        <v>49</v>
      </c>
      <c r="AO753">
        <v>0.8614718614718615</v>
      </c>
      <c r="AP753">
        <v>154</v>
      </c>
    </row>
    <row r="754" spans="1:42" x14ac:dyDescent="0.35">
      <c r="A754">
        <v>97176</v>
      </c>
      <c r="B754">
        <v>8619</v>
      </c>
      <c r="C754">
        <v>950205</v>
      </c>
      <c r="D754">
        <v>307</v>
      </c>
      <c r="E754" s="147">
        <v>44207</v>
      </c>
      <c r="F754" t="s">
        <v>603</v>
      </c>
      <c r="G754" t="s">
        <v>408</v>
      </c>
      <c r="H754" s="147">
        <v>44207</v>
      </c>
      <c r="I754">
        <v>7</v>
      </c>
      <c r="J754" t="s">
        <v>195</v>
      </c>
      <c r="L754">
        <v>0</v>
      </c>
      <c r="M754">
        <v>0</v>
      </c>
      <c r="U754">
        <v>879</v>
      </c>
      <c r="V754">
        <v>716</v>
      </c>
      <c r="W754">
        <v>0</v>
      </c>
      <c r="X754">
        <v>0</v>
      </c>
      <c r="Y754">
        <v>51</v>
      </c>
      <c r="Z754">
        <v>47</v>
      </c>
      <c r="AA754">
        <v>18</v>
      </c>
      <c r="AB754">
        <v>12</v>
      </c>
      <c r="AC754">
        <v>31</v>
      </c>
      <c r="AD754">
        <v>25</v>
      </c>
      <c r="AG754" t="s">
        <v>224</v>
      </c>
      <c r="AH754" t="s">
        <v>435</v>
      </c>
      <c r="AI754">
        <v>360</v>
      </c>
      <c r="AJ754">
        <v>124</v>
      </c>
      <c r="AK754">
        <v>107</v>
      </c>
      <c r="AL754">
        <v>9</v>
      </c>
      <c r="AM754">
        <v>33</v>
      </c>
      <c r="AN754" t="s">
        <v>49</v>
      </c>
      <c r="AO754">
        <v>0.81456200227531284</v>
      </c>
      <c r="AP754">
        <v>204</v>
      </c>
    </row>
    <row r="755" spans="1:42" x14ac:dyDescent="0.35">
      <c r="A755">
        <v>97194</v>
      </c>
      <c r="B755">
        <v>8619</v>
      </c>
      <c r="C755">
        <v>950223</v>
      </c>
      <c r="D755">
        <v>302</v>
      </c>
      <c r="E755" s="147">
        <v>44207</v>
      </c>
      <c r="F755" t="s">
        <v>598</v>
      </c>
      <c r="G755" t="s">
        <v>69</v>
      </c>
      <c r="H755" s="147">
        <v>44208</v>
      </c>
      <c r="I755">
        <v>7</v>
      </c>
      <c r="J755" t="s">
        <v>199</v>
      </c>
      <c r="L755">
        <v>0</v>
      </c>
      <c r="M755">
        <v>0</v>
      </c>
      <c r="U755">
        <v>1440</v>
      </c>
      <c r="V755">
        <v>1347</v>
      </c>
      <c r="W755">
        <v>0</v>
      </c>
      <c r="X755">
        <v>0</v>
      </c>
      <c r="Y755">
        <v>208</v>
      </c>
      <c r="Z755">
        <v>206</v>
      </c>
      <c r="AA755">
        <v>4</v>
      </c>
      <c r="AB755">
        <v>1</v>
      </c>
      <c r="AC755">
        <v>31</v>
      </c>
      <c r="AD755">
        <v>29</v>
      </c>
      <c r="AG755" t="s">
        <v>1</v>
      </c>
      <c r="AH755" t="s">
        <v>435</v>
      </c>
      <c r="AI755">
        <v>483</v>
      </c>
      <c r="AJ755">
        <v>183</v>
      </c>
      <c r="AK755">
        <v>222</v>
      </c>
      <c r="AL755">
        <v>24</v>
      </c>
      <c r="AM755">
        <v>6</v>
      </c>
      <c r="AN755" t="s">
        <v>49</v>
      </c>
      <c r="AO755">
        <v>0.93541666666666667</v>
      </c>
      <c r="AP755">
        <v>285</v>
      </c>
    </row>
    <row r="756" spans="1:42" x14ac:dyDescent="0.35">
      <c r="A756">
        <v>97201</v>
      </c>
      <c r="B756">
        <v>8619</v>
      </c>
      <c r="C756">
        <v>950230</v>
      </c>
      <c r="D756">
        <v>386</v>
      </c>
      <c r="E756" s="147">
        <v>44207</v>
      </c>
      <c r="F756" t="s">
        <v>604</v>
      </c>
      <c r="G756" t="s">
        <v>105</v>
      </c>
      <c r="H756" s="147">
        <v>44208</v>
      </c>
      <c r="I756">
        <v>7</v>
      </c>
      <c r="J756" t="s">
        <v>199</v>
      </c>
      <c r="L756">
        <v>0</v>
      </c>
      <c r="M756">
        <v>0</v>
      </c>
      <c r="U756">
        <v>1245</v>
      </c>
      <c r="V756">
        <v>1181</v>
      </c>
      <c r="W756">
        <v>0</v>
      </c>
      <c r="X756">
        <v>0</v>
      </c>
      <c r="Y756">
        <v>181</v>
      </c>
      <c r="Z756">
        <v>163</v>
      </c>
      <c r="AA756">
        <v>16</v>
      </c>
      <c r="AB756">
        <v>14</v>
      </c>
      <c r="AC756">
        <v>48</v>
      </c>
      <c r="AD756">
        <v>43</v>
      </c>
      <c r="AG756" t="s">
        <v>1</v>
      </c>
      <c r="AH756" t="s">
        <v>435</v>
      </c>
      <c r="AI756">
        <v>469</v>
      </c>
      <c r="AJ756">
        <v>186</v>
      </c>
      <c r="AK756">
        <v>168</v>
      </c>
      <c r="AL756">
        <v>34</v>
      </c>
      <c r="AM756">
        <v>11</v>
      </c>
      <c r="AN756" t="s">
        <v>49</v>
      </c>
      <c r="AO756">
        <v>0.94859437751004017</v>
      </c>
      <c r="AP756">
        <v>285</v>
      </c>
    </row>
    <row r="757" spans="1:42" x14ac:dyDescent="0.35">
      <c r="A757">
        <v>97216</v>
      </c>
      <c r="B757">
        <v>8619</v>
      </c>
      <c r="C757">
        <v>950245</v>
      </c>
      <c r="D757">
        <v>492</v>
      </c>
      <c r="E757" s="147">
        <v>44207</v>
      </c>
      <c r="F757" t="s">
        <v>605</v>
      </c>
      <c r="G757" t="s">
        <v>125</v>
      </c>
      <c r="H757" s="147">
        <v>44208</v>
      </c>
      <c r="I757">
        <v>7</v>
      </c>
      <c r="J757" t="s">
        <v>199</v>
      </c>
      <c r="L757">
        <v>0</v>
      </c>
      <c r="M757">
        <v>0</v>
      </c>
      <c r="U757">
        <v>1505</v>
      </c>
      <c r="V757">
        <v>1335</v>
      </c>
      <c r="W757">
        <v>0</v>
      </c>
      <c r="X757">
        <v>0</v>
      </c>
      <c r="Y757">
        <v>88</v>
      </c>
      <c r="Z757">
        <v>77</v>
      </c>
      <c r="AA757">
        <v>14</v>
      </c>
      <c r="AB757">
        <v>13</v>
      </c>
      <c r="AC757">
        <v>41</v>
      </c>
      <c r="AD757">
        <v>34</v>
      </c>
      <c r="AG757" t="s">
        <v>226</v>
      </c>
      <c r="AH757" t="s">
        <v>435</v>
      </c>
      <c r="AI757">
        <v>695</v>
      </c>
      <c r="AJ757">
        <v>237</v>
      </c>
      <c r="AK757">
        <v>152</v>
      </c>
      <c r="AL757">
        <v>3</v>
      </c>
      <c r="AM757">
        <v>2</v>
      </c>
      <c r="AN757" t="s">
        <v>49</v>
      </c>
      <c r="AO757">
        <v>0.8870431893687708</v>
      </c>
      <c r="AP757">
        <v>372</v>
      </c>
    </row>
    <row r="758" spans="1:42" x14ac:dyDescent="0.35">
      <c r="A758">
        <v>97227</v>
      </c>
      <c r="B758">
        <v>8619</v>
      </c>
      <c r="C758">
        <v>950256</v>
      </c>
      <c r="D758">
        <v>479</v>
      </c>
      <c r="E758" s="147">
        <v>44207</v>
      </c>
      <c r="F758" t="s">
        <v>601</v>
      </c>
      <c r="G758" t="s">
        <v>160</v>
      </c>
      <c r="H758" s="147">
        <v>44208</v>
      </c>
      <c r="I758">
        <v>7</v>
      </c>
      <c r="J758" t="s">
        <v>199</v>
      </c>
      <c r="L758">
        <v>0</v>
      </c>
      <c r="M758">
        <v>0</v>
      </c>
      <c r="U758">
        <v>1519</v>
      </c>
      <c r="V758">
        <v>1305</v>
      </c>
      <c r="W758">
        <v>0</v>
      </c>
      <c r="X758">
        <v>0</v>
      </c>
      <c r="Y758">
        <v>77</v>
      </c>
      <c r="Z758">
        <v>69</v>
      </c>
      <c r="AA758">
        <v>13</v>
      </c>
      <c r="AB758">
        <v>12</v>
      </c>
      <c r="AC758">
        <v>42</v>
      </c>
      <c r="AD758">
        <v>35</v>
      </c>
      <c r="AG758" t="s">
        <v>226</v>
      </c>
      <c r="AH758" t="s">
        <v>435</v>
      </c>
      <c r="AI758">
        <v>544</v>
      </c>
      <c r="AJ758">
        <v>164</v>
      </c>
      <c r="AK758">
        <v>160</v>
      </c>
      <c r="AL758">
        <v>39</v>
      </c>
      <c r="AM758">
        <v>38</v>
      </c>
      <c r="AN758" t="s">
        <v>49</v>
      </c>
      <c r="AO758">
        <v>0.85911784068466102</v>
      </c>
      <c r="AP758">
        <v>280</v>
      </c>
    </row>
    <row r="759" spans="1:42" x14ac:dyDescent="0.35">
      <c r="A759">
        <v>97262</v>
      </c>
      <c r="B759">
        <v>8619</v>
      </c>
      <c r="C759">
        <v>950291</v>
      </c>
      <c r="D759">
        <v>25510</v>
      </c>
      <c r="E759" s="147">
        <v>44207</v>
      </c>
      <c r="F759" t="s">
        <v>606</v>
      </c>
      <c r="G759" t="s">
        <v>111</v>
      </c>
      <c r="H759" s="147">
        <v>44208</v>
      </c>
      <c r="I759">
        <v>7</v>
      </c>
      <c r="J759" t="s">
        <v>199</v>
      </c>
      <c r="L759">
        <v>0</v>
      </c>
      <c r="M759">
        <v>0</v>
      </c>
      <c r="U759">
        <v>1733</v>
      </c>
      <c r="V759">
        <v>1500</v>
      </c>
      <c r="W759">
        <v>0</v>
      </c>
      <c r="X759">
        <v>0</v>
      </c>
      <c r="Y759">
        <v>109</v>
      </c>
      <c r="Z759">
        <v>88</v>
      </c>
      <c r="AA759">
        <v>35</v>
      </c>
      <c r="AB759">
        <v>33</v>
      </c>
      <c r="AC759">
        <v>44</v>
      </c>
      <c r="AD759">
        <v>31</v>
      </c>
      <c r="AG759" t="s">
        <v>255</v>
      </c>
      <c r="AH759" t="s">
        <v>435</v>
      </c>
      <c r="AI759">
        <v>819</v>
      </c>
      <c r="AJ759">
        <v>355</v>
      </c>
      <c r="AK759">
        <v>130</v>
      </c>
      <c r="AL759">
        <v>15</v>
      </c>
      <c r="AM759">
        <v>5</v>
      </c>
      <c r="AN759" t="s">
        <v>49</v>
      </c>
      <c r="AO759">
        <v>0.86555106751298327</v>
      </c>
      <c r="AP759">
        <v>530</v>
      </c>
    </row>
    <row r="760" spans="1:42" x14ac:dyDescent="0.35">
      <c r="A760">
        <v>97303</v>
      </c>
      <c r="B760">
        <v>8619</v>
      </c>
      <c r="C760">
        <v>950332</v>
      </c>
      <c r="D760">
        <v>307</v>
      </c>
      <c r="E760" s="147">
        <v>44207</v>
      </c>
      <c r="F760" t="s">
        <v>603</v>
      </c>
      <c r="G760" t="s">
        <v>408</v>
      </c>
      <c r="H760" s="147">
        <v>44208</v>
      </c>
      <c r="I760">
        <v>7</v>
      </c>
      <c r="J760" t="s">
        <v>199</v>
      </c>
      <c r="L760">
        <v>0</v>
      </c>
      <c r="M760">
        <v>0</v>
      </c>
      <c r="U760">
        <v>872</v>
      </c>
      <c r="V760">
        <v>724</v>
      </c>
      <c r="W760">
        <v>0</v>
      </c>
      <c r="X760">
        <v>0</v>
      </c>
      <c r="Y760">
        <v>49</v>
      </c>
      <c r="Z760">
        <v>41</v>
      </c>
      <c r="AA760">
        <v>18</v>
      </c>
      <c r="AB760">
        <v>12</v>
      </c>
      <c r="AC760">
        <v>31</v>
      </c>
      <c r="AD760">
        <v>24</v>
      </c>
      <c r="AG760" t="s">
        <v>224</v>
      </c>
      <c r="AH760" t="s">
        <v>435</v>
      </c>
      <c r="AI760">
        <v>356</v>
      </c>
      <c r="AJ760">
        <v>126</v>
      </c>
      <c r="AK760">
        <v>130</v>
      </c>
      <c r="AL760">
        <v>22</v>
      </c>
      <c r="AM760">
        <v>9</v>
      </c>
      <c r="AN760" t="s">
        <v>49</v>
      </c>
      <c r="AO760">
        <v>0.83027522935779818</v>
      </c>
      <c r="AP760">
        <v>216</v>
      </c>
    </row>
    <row r="761" spans="1:42" x14ac:dyDescent="0.35">
      <c r="A761">
        <v>97321</v>
      </c>
      <c r="B761">
        <v>8619</v>
      </c>
      <c r="C761">
        <v>950350</v>
      </c>
      <c r="D761">
        <v>302</v>
      </c>
      <c r="E761" s="147">
        <v>44207</v>
      </c>
      <c r="F761" t="s">
        <v>598</v>
      </c>
      <c r="G761" t="s">
        <v>69</v>
      </c>
      <c r="H761" s="147">
        <v>44209</v>
      </c>
      <c r="I761">
        <v>7</v>
      </c>
      <c r="J761" t="s">
        <v>200</v>
      </c>
      <c r="L761">
        <v>0</v>
      </c>
      <c r="M761">
        <v>0</v>
      </c>
      <c r="U761">
        <v>1446</v>
      </c>
      <c r="V761">
        <v>1348</v>
      </c>
      <c r="W761">
        <v>0</v>
      </c>
      <c r="X761">
        <v>0</v>
      </c>
      <c r="Y761">
        <v>212</v>
      </c>
      <c r="Z761">
        <v>208</v>
      </c>
      <c r="AA761">
        <v>4</v>
      </c>
      <c r="AB761">
        <v>1</v>
      </c>
      <c r="AC761">
        <v>43</v>
      </c>
      <c r="AD761">
        <v>43</v>
      </c>
      <c r="AG761" t="s">
        <v>1</v>
      </c>
      <c r="AH761" t="s">
        <v>435</v>
      </c>
      <c r="AI761">
        <v>467</v>
      </c>
      <c r="AJ761">
        <v>184</v>
      </c>
      <c r="AK761">
        <v>194</v>
      </c>
      <c r="AL761">
        <v>15</v>
      </c>
      <c r="AM761">
        <v>2</v>
      </c>
      <c r="AN761" t="s">
        <v>49</v>
      </c>
      <c r="AO761">
        <v>0.93222683264177042</v>
      </c>
      <c r="AP761">
        <v>276</v>
      </c>
    </row>
    <row r="762" spans="1:42" x14ac:dyDescent="0.35">
      <c r="A762">
        <v>97343</v>
      </c>
      <c r="B762">
        <v>8619</v>
      </c>
      <c r="C762">
        <v>950372</v>
      </c>
      <c r="D762">
        <v>492</v>
      </c>
      <c r="E762" s="147">
        <v>44207</v>
      </c>
      <c r="F762" t="s">
        <v>605</v>
      </c>
      <c r="G762" t="s">
        <v>125</v>
      </c>
      <c r="H762" s="147">
        <v>44209</v>
      </c>
      <c r="I762">
        <v>7</v>
      </c>
      <c r="J762" t="s">
        <v>200</v>
      </c>
      <c r="L762">
        <v>0</v>
      </c>
      <c r="M762">
        <v>0</v>
      </c>
      <c r="U762">
        <v>1516</v>
      </c>
      <c r="V762">
        <v>1328</v>
      </c>
      <c r="W762">
        <v>0</v>
      </c>
      <c r="X762">
        <v>0</v>
      </c>
      <c r="Y762">
        <v>92</v>
      </c>
      <c r="Z762">
        <v>80</v>
      </c>
      <c r="AA762">
        <v>14</v>
      </c>
      <c r="AB762">
        <v>13</v>
      </c>
      <c r="AC762">
        <v>41</v>
      </c>
      <c r="AD762">
        <v>35</v>
      </c>
      <c r="AG762" t="s">
        <v>226</v>
      </c>
      <c r="AH762" t="s">
        <v>435</v>
      </c>
      <c r="AI762">
        <v>697</v>
      </c>
      <c r="AJ762">
        <v>239</v>
      </c>
      <c r="AK762">
        <v>138</v>
      </c>
      <c r="AL762">
        <v>1</v>
      </c>
      <c r="AM762">
        <v>2</v>
      </c>
      <c r="AN762" t="s">
        <v>49</v>
      </c>
      <c r="AO762">
        <v>0.87598944591029027</v>
      </c>
      <c r="AP762">
        <v>387</v>
      </c>
    </row>
    <row r="763" spans="1:42" x14ac:dyDescent="0.35">
      <c r="A763">
        <v>97354</v>
      </c>
      <c r="B763">
        <v>8619</v>
      </c>
      <c r="C763">
        <v>950383</v>
      </c>
      <c r="D763">
        <v>479</v>
      </c>
      <c r="E763" s="147">
        <v>44207</v>
      </c>
      <c r="F763" t="s">
        <v>601</v>
      </c>
      <c r="G763" t="s">
        <v>160</v>
      </c>
      <c r="H763" s="147">
        <v>44209</v>
      </c>
      <c r="I763">
        <v>7</v>
      </c>
      <c r="J763" t="s">
        <v>200</v>
      </c>
      <c r="L763">
        <v>0</v>
      </c>
      <c r="M763">
        <v>0</v>
      </c>
      <c r="U763">
        <v>1500</v>
      </c>
      <c r="V763">
        <v>1300</v>
      </c>
      <c r="W763">
        <v>0</v>
      </c>
      <c r="X763">
        <v>0</v>
      </c>
      <c r="Y763">
        <v>77</v>
      </c>
      <c r="Z763">
        <v>69</v>
      </c>
      <c r="AA763">
        <v>13</v>
      </c>
      <c r="AB763">
        <v>12</v>
      </c>
      <c r="AC763">
        <v>42</v>
      </c>
      <c r="AD763">
        <v>37</v>
      </c>
      <c r="AG763" t="s">
        <v>226</v>
      </c>
      <c r="AH763" t="s">
        <v>435</v>
      </c>
      <c r="AI763">
        <v>533</v>
      </c>
      <c r="AJ763">
        <v>162</v>
      </c>
      <c r="AK763">
        <v>150</v>
      </c>
      <c r="AL763">
        <v>28</v>
      </c>
      <c r="AM763">
        <v>15</v>
      </c>
      <c r="AN763" t="s">
        <v>49</v>
      </c>
      <c r="AO763">
        <v>0.8666666666666667</v>
      </c>
      <c r="AP763">
        <v>278</v>
      </c>
    </row>
    <row r="764" spans="1:42" x14ac:dyDescent="0.35">
      <c r="A764">
        <v>97389</v>
      </c>
      <c r="B764">
        <v>8619</v>
      </c>
      <c r="C764">
        <v>950418</v>
      </c>
      <c r="D764">
        <v>25510</v>
      </c>
      <c r="E764" s="147">
        <v>44207</v>
      </c>
      <c r="F764" t="s">
        <v>606</v>
      </c>
      <c r="G764" t="s">
        <v>111</v>
      </c>
      <c r="H764" s="147">
        <v>44209</v>
      </c>
      <c r="I764">
        <v>7</v>
      </c>
      <c r="J764" t="s">
        <v>200</v>
      </c>
      <c r="L764">
        <v>0</v>
      </c>
      <c r="M764">
        <v>0</v>
      </c>
      <c r="U764">
        <v>1762</v>
      </c>
      <c r="V764">
        <v>1446</v>
      </c>
      <c r="W764">
        <v>0</v>
      </c>
      <c r="X764">
        <v>0</v>
      </c>
      <c r="Y764">
        <v>109</v>
      </c>
      <c r="Z764">
        <v>95</v>
      </c>
      <c r="AA764">
        <v>38</v>
      </c>
      <c r="AB764">
        <v>32</v>
      </c>
      <c r="AC764">
        <v>44</v>
      </c>
      <c r="AD764">
        <v>30</v>
      </c>
      <c r="AG764" t="s">
        <v>255</v>
      </c>
      <c r="AH764" t="s">
        <v>435</v>
      </c>
      <c r="AI764">
        <v>795</v>
      </c>
      <c r="AJ764">
        <v>346</v>
      </c>
      <c r="AK764">
        <v>149</v>
      </c>
      <c r="AL764">
        <v>5</v>
      </c>
      <c r="AM764">
        <v>3</v>
      </c>
      <c r="AN764" t="s">
        <v>49</v>
      </c>
      <c r="AO764">
        <v>0.82065834279228145</v>
      </c>
      <c r="AP764">
        <v>509</v>
      </c>
    </row>
    <row r="765" spans="1:42" x14ac:dyDescent="0.35">
      <c r="A765">
        <v>97412</v>
      </c>
      <c r="B765">
        <v>8619</v>
      </c>
      <c r="C765">
        <v>950441</v>
      </c>
      <c r="D765">
        <v>454</v>
      </c>
      <c r="E765" s="147">
        <v>44207</v>
      </c>
      <c r="F765" t="s">
        <v>602</v>
      </c>
      <c r="G765" t="s">
        <v>126</v>
      </c>
      <c r="H765" s="147">
        <v>44209</v>
      </c>
      <c r="I765">
        <v>7</v>
      </c>
      <c r="J765" t="s">
        <v>200</v>
      </c>
      <c r="L765">
        <v>0</v>
      </c>
      <c r="M765">
        <v>0</v>
      </c>
      <c r="U765">
        <v>924</v>
      </c>
      <c r="V765">
        <v>817</v>
      </c>
      <c r="W765">
        <v>0</v>
      </c>
      <c r="X765">
        <v>0</v>
      </c>
      <c r="Y765">
        <v>69</v>
      </c>
      <c r="Z765">
        <v>66</v>
      </c>
      <c r="AA765">
        <v>12</v>
      </c>
      <c r="AB765">
        <v>9</v>
      </c>
      <c r="AC765">
        <v>30</v>
      </c>
      <c r="AD765">
        <v>28</v>
      </c>
      <c r="AG765" t="s">
        <v>223</v>
      </c>
      <c r="AH765" t="s">
        <v>435</v>
      </c>
      <c r="AI765">
        <v>332</v>
      </c>
      <c r="AJ765">
        <v>99</v>
      </c>
      <c r="AK765">
        <v>121</v>
      </c>
      <c r="AL765">
        <v>16</v>
      </c>
      <c r="AM765">
        <v>10</v>
      </c>
      <c r="AN765" t="s">
        <v>49</v>
      </c>
      <c r="AO765">
        <v>0.88419913419913421</v>
      </c>
      <c r="AP765">
        <v>163</v>
      </c>
    </row>
    <row r="766" spans="1:42" x14ac:dyDescent="0.35">
      <c r="A766">
        <v>97430</v>
      </c>
      <c r="B766">
        <v>8619</v>
      </c>
      <c r="C766">
        <v>950459</v>
      </c>
      <c r="D766">
        <v>307</v>
      </c>
      <c r="E766" s="147">
        <v>44207</v>
      </c>
      <c r="F766" t="s">
        <v>603</v>
      </c>
      <c r="G766" t="s">
        <v>408</v>
      </c>
      <c r="H766" s="147">
        <v>44209</v>
      </c>
      <c r="I766">
        <v>7</v>
      </c>
      <c r="J766" t="s">
        <v>200</v>
      </c>
      <c r="L766">
        <v>0</v>
      </c>
      <c r="M766">
        <v>0</v>
      </c>
      <c r="U766">
        <v>845</v>
      </c>
      <c r="V766">
        <v>719</v>
      </c>
      <c r="W766">
        <v>0</v>
      </c>
      <c r="X766">
        <v>0</v>
      </c>
      <c r="Y766">
        <v>49</v>
      </c>
      <c r="Z766">
        <v>42</v>
      </c>
      <c r="AA766">
        <v>18</v>
      </c>
      <c r="AB766">
        <v>14</v>
      </c>
      <c r="AC766">
        <v>31</v>
      </c>
      <c r="AD766">
        <v>25</v>
      </c>
      <c r="AG766" t="s">
        <v>224</v>
      </c>
      <c r="AH766" t="s">
        <v>435</v>
      </c>
      <c r="AI766">
        <v>341</v>
      </c>
      <c r="AJ766">
        <v>121</v>
      </c>
      <c r="AK766">
        <v>110</v>
      </c>
      <c r="AL766">
        <v>10</v>
      </c>
      <c r="AM766">
        <v>27</v>
      </c>
      <c r="AN766" t="s">
        <v>49</v>
      </c>
      <c r="AO766">
        <v>0.85088757396449699</v>
      </c>
      <c r="AP766">
        <v>207</v>
      </c>
    </row>
    <row r="767" spans="1:42" x14ac:dyDescent="0.35">
      <c r="A767">
        <v>97435</v>
      </c>
      <c r="B767">
        <v>8619</v>
      </c>
      <c r="C767">
        <v>950464</v>
      </c>
      <c r="D767">
        <v>364</v>
      </c>
      <c r="E767" s="147">
        <v>44207</v>
      </c>
      <c r="F767" t="s">
        <v>599</v>
      </c>
      <c r="G767" t="s">
        <v>77</v>
      </c>
      <c r="H767" s="147">
        <v>44210</v>
      </c>
      <c r="I767">
        <v>7</v>
      </c>
      <c r="J767" t="s">
        <v>198</v>
      </c>
      <c r="L767">
        <v>0</v>
      </c>
      <c r="M767">
        <v>0</v>
      </c>
      <c r="U767">
        <v>844</v>
      </c>
      <c r="V767">
        <v>769</v>
      </c>
      <c r="W767">
        <v>0</v>
      </c>
      <c r="X767">
        <v>0</v>
      </c>
      <c r="Y767">
        <v>106</v>
      </c>
      <c r="Z767">
        <v>96</v>
      </c>
      <c r="AA767">
        <v>9</v>
      </c>
      <c r="AB767">
        <v>2</v>
      </c>
      <c r="AC767">
        <v>48</v>
      </c>
      <c r="AD767">
        <v>33</v>
      </c>
      <c r="AG767" t="s">
        <v>291</v>
      </c>
      <c r="AH767" t="s">
        <v>435</v>
      </c>
      <c r="AI767">
        <v>377</v>
      </c>
      <c r="AJ767">
        <v>149</v>
      </c>
      <c r="AK767">
        <v>79</v>
      </c>
      <c r="AL767">
        <v>10</v>
      </c>
      <c r="AM767">
        <v>2</v>
      </c>
      <c r="AN767" t="s">
        <v>49</v>
      </c>
      <c r="AO767">
        <v>0.91113744075829384</v>
      </c>
      <c r="AP767">
        <v>228</v>
      </c>
    </row>
    <row r="768" spans="1:42" x14ac:dyDescent="0.35">
      <c r="A768">
        <v>97448</v>
      </c>
      <c r="B768">
        <v>8619</v>
      </c>
      <c r="C768">
        <v>950477</v>
      </c>
      <c r="D768">
        <v>302</v>
      </c>
      <c r="E768" s="147">
        <v>44207</v>
      </c>
      <c r="F768" t="s">
        <v>598</v>
      </c>
      <c r="G768" t="s">
        <v>69</v>
      </c>
      <c r="H768" s="147">
        <v>44210</v>
      </c>
      <c r="I768">
        <v>7</v>
      </c>
      <c r="J768" t="s">
        <v>198</v>
      </c>
      <c r="L768">
        <v>0</v>
      </c>
      <c r="M768">
        <v>0</v>
      </c>
      <c r="U768">
        <v>1457</v>
      </c>
      <c r="V768">
        <v>1307</v>
      </c>
      <c r="W768">
        <v>0</v>
      </c>
      <c r="X768">
        <v>0</v>
      </c>
      <c r="Y768">
        <v>212</v>
      </c>
      <c r="Z768">
        <v>211</v>
      </c>
      <c r="AA768">
        <v>4</v>
      </c>
      <c r="AB768">
        <v>1</v>
      </c>
      <c r="AC768">
        <v>32</v>
      </c>
      <c r="AD768">
        <v>32</v>
      </c>
      <c r="AG768" t="s">
        <v>1</v>
      </c>
      <c r="AH768" t="s">
        <v>435</v>
      </c>
      <c r="AI768">
        <v>471</v>
      </c>
      <c r="AJ768">
        <v>181</v>
      </c>
      <c r="AK768">
        <v>218</v>
      </c>
      <c r="AL768">
        <v>18</v>
      </c>
      <c r="AM768">
        <v>1</v>
      </c>
      <c r="AN768" t="s">
        <v>49</v>
      </c>
      <c r="AO768">
        <v>0.89704873026767329</v>
      </c>
      <c r="AP768">
        <v>273</v>
      </c>
    </row>
    <row r="769" spans="1:42" x14ac:dyDescent="0.35">
      <c r="A769">
        <v>97481</v>
      </c>
      <c r="B769">
        <v>8619</v>
      </c>
      <c r="C769">
        <v>950510</v>
      </c>
      <c r="D769">
        <v>479</v>
      </c>
      <c r="E769" s="147">
        <v>44207</v>
      </c>
      <c r="F769" t="s">
        <v>601</v>
      </c>
      <c r="G769" t="s">
        <v>160</v>
      </c>
      <c r="H769" s="147">
        <v>44210</v>
      </c>
      <c r="I769">
        <v>7</v>
      </c>
      <c r="J769" t="s">
        <v>198</v>
      </c>
      <c r="L769">
        <v>0</v>
      </c>
      <c r="M769">
        <v>0</v>
      </c>
      <c r="U769">
        <v>1501</v>
      </c>
      <c r="V769">
        <v>1268</v>
      </c>
      <c r="W769">
        <v>0</v>
      </c>
      <c r="X769">
        <v>0</v>
      </c>
      <c r="Y769">
        <v>82</v>
      </c>
      <c r="Z769">
        <v>70</v>
      </c>
      <c r="AA769">
        <v>13</v>
      </c>
      <c r="AB769">
        <v>8</v>
      </c>
      <c r="AC769">
        <v>42</v>
      </c>
      <c r="AD769">
        <v>40</v>
      </c>
      <c r="AG769" t="s">
        <v>226</v>
      </c>
      <c r="AH769" t="s">
        <v>435</v>
      </c>
      <c r="AI769">
        <v>535</v>
      </c>
      <c r="AJ769">
        <v>168</v>
      </c>
      <c r="AK769">
        <v>160</v>
      </c>
      <c r="AL769">
        <v>38</v>
      </c>
      <c r="AM769">
        <v>3</v>
      </c>
      <c r="AN769" t="s">
        <v>49</v>
      </c>
      <c r="AO769">
        <v>0.84477015323117921</v>
      </c>
      <c r="AP769">
        <v>277</v>
      </c>
    </row>
    <row r="770" spans="1:42" x14ac:dyDescent="0.35">
      <c r="A770">
        <v>97516</v>
      </c>
      <c r="B770">
        <v>8619</v>
      </c>
      <c r="C770">
        <v>950545</v>
      </c>
      <c r="D770">
        <v>25510</v>
      </c>
      <c r="E770" s="147">
        <v>44207</v>
      </c>
      <c r="F770" t="s">
        <v>606</v>
      </c>
      <c r="G770" t="s">
        <v>111</v>
      </c>
      <c r="H770" s="147">
        <v>44210</v>
      </c>
      <c r="I770">
        <v>7</v>
      </c>
      <c r="J770" t="s">
        <v>198</v>
      </c>
      <c r="L770">
        <v>0</v>
      </c>
      <c r="M770">
        <v>0</v>
      </c>
      <c r="U770">
        <v>1714</v>
      </c>
      <c r="V770">
        <v>1406</v>
      </c>
      <c r="W770">
        <v>0</v>
      </c>
      <c r="X770">
        <v>0</v>
      </c>
      <c r="Y770">
        <v>109</v>
      </c>
      <c r="Z770">
        <v>92</v>
      </c>
      <c r="AA770">
        <v>36</v>
      </c>
      <c r="AB770">
        <v>34</v>
      </c>
      <c r="AC770">
        <v>44</v>
      </c>
      <c r="AD770">
        <v>28</v>
      </c>
      <c r="AG770" t="s">
        <v>255</v>
      </c>
      <c r="AH770" t="s">
        <v>435</v>
      </c>
      <c r="AI770">
        <v>799</v>
      </c>
      <c r="AJ770">
        <v>343</v>
      </c>
      <c r="AK770">
        <v>159</v>
      </c>
      <c r="AL770">
        <v>7</v>
      </c>
      <c r="AM770">
        <v>2</v>
      </c>
      <c r="AN770" t="s">
        <v>49</v>
      </c>
      <c r="AO770">
        <v>0.82030338389731627</v>
      </c>
      <c r="AP770">
        <v>511</v>
      </c>
    </row>
    <row r="771" spans="1:42" x14ac:dyDescent="0.35">
      <c r="A771">
        <v>97539</v>
      </c>
      <c r="B771">
        <v>8619</v>
      </c>
      <c r="C771">
        <v>950568</v>
      </c>
      <c r="D771">
        <v>454</v>
      </c>
      <c r="E771" s="147">
        <v>44207</v>
      </c>
      <c r="F771" t="s">
        <v>602</v>
      </c>
      <c r="G771" t="s">
        <v>126</v>
      </c>
      <c r="H771" s="147">
        <v>44210</v>
      </c>
      <c r="I771">
        <v>7</v>
      </c>
      <c r="J771" t="s">
        <v>198</v>
      </c>
      <c r="L771">
        <v>0</v>
      </c>
      <c r="M771">
        <v>0</v>
      </c>
      <c r="U771">
        <v>924</v>
      </c>
      <c r="V771">
        <v>770</v>
      </c>
      <c r="W771">
        <v>0</v>
      </c>
      <c r="X771">
        <v>0</v>
      </c>
      <c r="Y771">
        <v>74</v>
      </c>
      <c r="Z771">
        <v>70</v>
      </c>
      <c r="AA771">
        <v>12</v>
      </c>
      <c r="AB771">
        <v>8</v>
      </c>
      <c r="AC771">
        <v>30</v>
      </c>
      <c r="AD771">
        <v>28</v>
      </c>
      <c r="AG771" t="s">
        <v>223</v>
      </c>
      <c r="AH771" t="s">
        <v>435</v>
      </c>
      <c r="AI771">
        <v>317</v>
      </c>
      <c r="AJ771">
        <v>91</v>
      </c>
      <c r="AK771">
        <v>107</v>
      </c>
      <c r="AL771">
        <v>10</v>
      </c>
      <c r="AM771">
        <v>1</v>
      </c>
      <c r="AN771" t="s">
        <v>49</v>
      </c>
      <c r="AO771">
        <v>0.83333333333333337</v>
      </c>
      <c r="AP771">
        <v>153</v>
      </c>
    </row>
    <row r="772" spans="1:42" x14ac:dyDescent="0.35">
      <c r="A772">
        <v>97557</v>
      </c>
      <c r="B772">
        <v>8619</v>
      </c>
      <c r="C772">
        <v>950586</v>
      </c>
      <c r="D772">
        <v>307</v>
      </c>
      <c r="E772" s="147">
        <v>44207</v>
      </c>
      <c r="F772" t="s">
        <v>603</v>
      </c>
      <c r="G772" t="s">
        <v>408</v>
      </c>
      <c r="H772" s="147">
        <v>44210</v>
      </c>
      <c r="I772">
        <v>7</v>
      </c>
      <c r="J772" t="s">
        <v>198</v>
      </c>
      <c r="L772">
        <v>0</v>
      </c>
      <c r="M772">
        <v>0</v>
      </c>
      <c r="U772">
        <v>840</v>
      </c>
      <c r="V772">
        <v>737</v>
      </c>
      <c r="W772">
        <v>0</v>
      </c>
      <c r="X772">
        <v>0</v>
      </c>
      <c r="Y772">
        <v>49</v>
      </c>
      <c r="Z772">
        <v>41</v>
      </c>
      <c r="AA772">
        <v>18</v>
      </c>
      <c r="AB772">
        <v>14</v>
      </c>
      <c r="AC772">
        <v>31</v>
      </c>
      <c r="AD772">
        <v>24</v>
      </c>
      <c r="AG772" t="s">
        <v>224</v>
      </c>
      <c r="AH772" t="s">
        <v>435</v>
      </c>
      <c r="AI772">
        <v>330</v>
      </c>
      <c r="AJ772">
        <v>120</v>
      </c>
      <c r="AK772">
        <v>127</v>
      </c>
      <c r="AL772">
        <v>28</v>
      </c>
      <c r="AM772">
        <v>23</v>
      </c>
      <c r="AN772" t="s">
        <v>49</v>
      </c>
      <c r="AO772">
        <v>0.87738095238095237</v>
      </c>
      <c r="AP772">
        <v>206</v>
      </c>
    </row>
    <row r="773" spans="1:42" x14ac:dyDescent="0.35">
      <c r="A773">
        <v>97562</v>
      </c>
      <c r="B773">
        <v>8619</v>
      </c>
      <c r="C773">
        <v>950591</v>
      </c>
      <c r="D773">
        <v>364</v>
      </c>
      <c r="E773" s="147">
        <v>44207</v>
      </c>
      <c r="F773" t="s">
        <v>599</v>
      </c>
      <c r="G773" t="s">
        <v>77</v>
      </c>
      <c r="H773" s="147">
        <v>44211</v>
      </c>
      <c r="I773">
        <v>7</v>
      </c>
      <c r="J773" t="s">
        <v>194</v>
      </c>
      <c r="L773">
        <v>0</v>
      </c>
      <c r="M773">
        <v>0</v>
      </c>
      <c r="U773">
        <v>852</v>
      </c>
      <c r="V773">
        <v>747</v>
      </c>
      <c r="W773">
        <v>0</v>
      </c>
      <c r="X773">
        <v>0</v>
      </c>
      <c r="Y773">
        <v>108</v>
      </c>
      <c r="Z773">
        <v>93</v>
      </c>
      <c r="AA773">
        <v>9</v>
      </c>
      <c r="AB773">
        <v>2</v>
      </c>
      <c r="AC773">
        <v>43</v>
      </c>
      <c r="AD773">
        <v>32</v>
      </c>
      <c r="AG773" t="s">
        <v>291</v>
      </c>
      <c r="AH773" t="s">
        <v>435</v>
      </c>
      <c r="AI773">
        <v>364</v>
      </c>
      <c r="AJ773">
        <v>145</v>
      </c>
      <c r="AK773">
        <v>64</v>
      </c>
      <c r="AL773">
        <v>2</v>
      </c>
      <c r="AM773">
        <v>1</v>
      </c>
      <c r="AN773" t="s">
        <v>49</v>
      </c>
      <c r="AO773">
        <v>0.87676056338028174</v>
      </c>
      <c r="AP773">
        <v>227</v>
      </c>
    </row>
    <row r="774" spans="1:42" x14ac:dyDescent="0.35">
      <c r="A774">
        <v>97582</v>
      </c>
      <c r="B774">
        <v>8619</v>
      </c>
      <c r="C774">
        <v>950611</v>
      </c>
      <c r="D774">
        <v>386</v>
      </c>
      <c r="E774" s="147">
        <v>44207</v>
      </c>
      <c r="F774" t="s">
        <v>604</v>
      </c>
      <c r="G774" t="s">
        <v>105</v>
      </c>
      <c r="H774" s="147">
        <v>44211</v>
      </c>
      <c r="I774">
        <v>7</v>
      </c>
      <c r="J774" t="s">
        <v>194</v>
      </c>
      <c r="L774">
        <v>0</v>
      </c>
      <c r="M774">
        <v>0</v>
      </c>
      <c r="U774">
        <v>1259</v>
      </c>
      <c r="V774">
        <v>1110</v>
      </c>
      <c r="W774">
        <v>0</v>
      </c>
      <c r="X774">
        <v>0</v>
      </c>
      <c r="Y774">
        <v>183</v>
      </c>
      <c r="Z774">
        <v>173</v>
      </c>
      <c r="AA774">
        <v>16</v>
      </c>
      <c r="AB774">
        <v>15</v>
      </c>
      <c r="AC774">
        <v>47</v>
      </c>
      <c r="AD774">
        <v>44</v>
      </c>
      <c r="AG774" t="s">
        <v>1</v>
      </c>
      <c r="AH774" t="s">
        <v>435</v>
      </c>
      <c r="AI774">
        <v>454</v>
      </c>
      <c r="AJ774">
        <v>182</v>
      </c>
      <c r="AK774">
        <v>168</v>
      </c>
      <c r="AL774">
        <v>16</v>
      </c>
      <c r="AM774">
        <v>2</v>
      </c>
      <c r="AN774" t="s">
        <v>49</v>
      </c>
      <c r="AO774">
        <v>0.88165210484511514</v>
      </c>
      <c r="AP774">
        <v>260</v>
      </c>
    </row>
    <row r="775" spans="1:42" x14ac:dyDescent="0.35">
      <c r="A775">
        <v>97592</v>
      </c>
      <c r="B775">
        <v>8619</v>
      </c>
      <c r="C775">
        <v>950621</v>
      </c>
      <c r="D775">
        <v>425</v>
      </c>
      <c r="E775" s="147">
        <v>44207</v>
      </c>
      <c r="F775" t="s">
        <v>607</v>
      </c>
      <c r="G775" t="s">
        <v>70</v>
      </c>
      <c r="H775" s="147">
        <v>44211</v>
      </c>
      <c r="I775">
        <v>7</v>
      </c>
      <c r="J775" t="s">
        <v>194</v>
      </c>
      <c r="L775">
        <v>0</v>
      </c>
      <c r="M775">
        <v>0</v>
      </c>
      <c r="U775">
        <v>223</v>
      </c>
      <c r="V775">
        <v>187</v>
      </c>
      <c r="W775">
        <v>0</v>
      </c>
      <c r="X775">
        <v>0</v>
      </c>
      <c r="Y775">
        <v>0</v>
      </c>
      <c r="Z775">
        <v>0</v>
      </c>
      <c r="AA775">
        <v>25</v>
      </c>
      <c r="AB775">
        <v>23</v>
      </c>
      <c r="AC775">
        <v>21</v>
      </c>
      <c r="AD775">
        <v>11</v>
      </c>
      <c r="AG775" t="s">
        <v>226</v>
      </c>
      <c r="AH775" t="s">
        <v>435</v>
      </c>
      <c r="AI775">
        <v>7</v>
      </c>
      <c r="AJ775">
        <v>6</v>
      </c>
      <c r="AK775">
        <v>34</v>
      </c>
      <c r="AL775">
        <v>2</v>
      </c>
      <c r="AM775">
        <v>1</v>
      </c>
      <c r="AN775" t="s">
        <v>49</v>
      </c>
      <c r="AO775">
        <v>0.83856502242152464</v>
      </c>
      <c r="AP775">
        <v>6</v>
      </c>
    </row>
    <row r="776" spans="1:42" x14ac:dyDescent="0.35">
      <c r="A776">
        <v>97597</v>
      </c>
      <c r="B776">
        <v>8619</v>
      </c>
      <c r="C776">
        <v>950626</v>
      </c>
      <c r="D776">
        <v>492</v>
      </c>
      <c r="E776" s="147">
        <v>44207</v>
      </c>
      <c r="F776" t="s">
        <v>605</v>
      </c>
      <c r="G776" t="s">
        <v>125</v>
      </c>
      <c r="H776" s="147">
        <v>44211</v>
      </c>
      <c r="I776">
        <v>7</v>
      </c>
      <c r="J776" t="s">
        <v>194</v>
      </c>
      <c r="L776">
        <v>0</v>
      </c>
      <c r="M776">
        <v>0</v>
      </c>
      <c r="U776">
        <v>1507</v>
      </c>
      <c r="V776">
        <v>1292</v>
      </c>
      <c r="W776">
        <v>0</v>
      </c>
      <c r="X776">
        <v>0</v>
      </c>
      <c r="Y776">
        <v>91</v>
      </c>
      <c r="Z776">
        <v>70</v>
      </c>
      <c r="AA776">
        <v>14</v>
      </c>
      <c r="AB776">
        <v>8</v>
      </c>
      <c r="AC776">
        <v>41</v>
      </c>
      <c r="AD776">
        <v>31</v>
      </c>
      <c r="AG776" t="s">
        <v>226</v>
      </c>
      <c r="AH776" t="s">
        <v>435</v>
      </c>
      <c r="AI776">
        <v>668</v>
      </c>
      <c r="AJ776">
        <v>218</v>
      </c>
      <c r="AK776">
        <v>147</v>
      </c>
      <c r="AL776">
        <v>3</v>
      </c>
      <c r="AM776">
        <v>2</v>
      </c>
      <c r="AN776" t="s">
        <v>49</v>
      </c>
      <c r="AO776">
        <v>0.85733244857332447</v>
      </c>
      <c r="AP776">
        <v>375</v>
      </c>
    </row>
    <row r="777" spans="1:42" x14ac:dyDescent="0.35">
      <c r="A777">
        <v>97608</v>
      </c>
      <c r="B777">
        <v>8619</v>
      </c>
      <c r="C777">
        <v>950637</v>
      </c>
      <c r="D777">
        <v>479</v>
      </c>
      <c r="E777" s="147">
        <v>44207</v>
      </c>
      <c r="F777" t="s">
        <v>601</v>
      </c>
      <c r="G777" t="s">
        <v>160</v>
      </c>
      <c r="H777" s="147">
        <v>44211</v>
      </c>
      <c r="I777">
        <v>7</v>
      </c>
      <c r="J777" t="s">
        <v>194</v>
      </c>
      <c r="L777">
        <v>0</v>
      </c>
      <c r="M777">
        <v>0</v>
      </c>
      <c r="U777">
        <v>1516</v>
      </c>
      <c r="V777">
        <v>1278</v>
      </c>
      <c r="W777">
        <v>0</v>
      </c>
      <c r="X777">
        <v>0</v>
      </c>
      <c r="Y777">
        <v>82</v>
      </c>
      <c r="Z777">
        <v>68</v>
      </c>
      <c r="AA777">
        <v>13</v>
      </c>
      <c r="AB777">
        <v>4</v>
      </c>
      <c r="AC777">
        <v>42</v>
      </c>
      <c r="AD777">
        <v>38</v>
      </c>
      <c r="AG777" t="s">
        <v>226</v>
      </c>
      <c r="AH777" t="s">
        <v>435</v>
      </c>
      <c r="AI777">
        <v>529</v>
      </c>
      <c r="AJ777">
        <v>169</v>
      </c>
      <c r="AK777">
        <v>168</v>
      </c>
      <c r="AL777">
        <v>29</v>
      </c>
      <c r="AM777">
        <v>46</v>
      </c>
      <c r="AN777" t="s">
        <v>49</v>
      </c>
      <c r="AO777">
        <v>0.84300791556728227</v>
      </c>
      <c r="AP777">
        <v>276</v>
      </c>
    </row>
    <row r="778" spans="1:42" x14ac:dyDescent="0.35">
      <c r="A778">
        <v>97643</v>
      </c>
      <c r="B778">
        <v>8619</v>
      </c>
      <c r="C778">
        <v>950672</v>
      </c>
      <c r="D778">
        <v>25510</v>
      </c>
      <c r="E778" s="147">
        <v>44207</v>
      </c>
      <c r="F778" t="s">
        <v>606</v>
      </c>
      <c r="G778" t="s">
        <v>111</v>
      </c>
      <c r="H778" s="147">
        <v>44211</v>
      </c>
      <c r="I778">
        <v>7</v>
      </c>
      <c r="J778" t="s">
        <v>194</v>
      </c>
      <c r="L778">
        <v>0</v>
      </c>
      <c r="M778">
        <v>0</v>
      </c>
      <c r="U778">
        <v>1698</v>
      </c>
      <c r="V778">
        <v>1399</v>
      </c>
      <c r="W778">
        <v>0</v>
      </c>
      <c r="X778">
        <v>0</v>
      </c>
      <c r="Y778">
        <v>109</v>
      </c>
      <c r="Z778">
        <v>87</v>
      </c>
      <c r="AA778">
        <v>38</v>
      </c>
      <c r="AB778">
        <v>36</v>
      </c>
      <c r="AC778">
        <v>44</v>
      </c>
      <c r="AD778">
        <v>31</v>
      </c>
      <c r="AG778" t="s">
        <v>255</v>
      </c>
      <c r="AH778" t="s">
        <v>435</v>
      </c>
      <c r="AI778">
        <v>771</v>
      </c>
      <c r="AJ778">
        <v>328</v>
      </c>
      <c r="AK778">
        <v>150</v>
      </c>
      <c r="AL778">
        <v>6</v>
      </c>
      <c r="AM778">
        <v>1</v>
      </c>
      <c r="AN778" t="s">
        <v>49</v>
      </c>
      <c r="AO778">
        <v>0.8239104829210836</v>
      </c>
      <c r="AP778">
        <v>493</v>
      </c>
    </row>
    <row r="779" spans="1:42" x14ac:dyDescent="0.35">
      <c r="A779">
        <v>97684</v>
      </c>
      <c r="B779">
        <v>8619</v>
      </c>
      <c r="C779">
        <v>950713</v>
      </c>
      <c r="D779">
        <v>307</v>
      </c>
      <c r="E779" s="147">
        <v>44207</v>
      </c>
      <c r="F779" t="s">
        <v>603</v>
      </c>
      <c r="G779" t="s">
        <v>408</v>
      </c>
      <c r="H779" s="147">
        <v>44211</v>
      </c>
      <c r="I779">
        <v>7</v>
      </c>
      <c r="J779" t="s">
        <v>194</v>
      </c>
      <c r="L779">
        <v>0</v>
      </c>
      <c r="M779">
        <v>0</v>
      </c>
      <c r="U779">
        <v>862</v>
      </c>
      <c r="V779">
        <v>702</v>
      </c>
      <c r="W779">
        <v>0</v>
      </c>
      <c r="X779">
        <v>0</v>
      </c>
      <c r="Y779">
        <v>49</v>
      </c>
      <c r="Z779">
        <v>45</v>
      </c>
      <c r="AA779">
        <v>18</v>
      </c>
      <c r="AB779">
        <v>14</v>
      </c>
      <c r="AC779">
        <v>31</v>
      </c>
      <c r="AD779">
        <v>22</v>
      </c>
      <c r="AG779" t="s">
        <v>224</v>
      </c>
      <c r="AH779" t="s">
        <v>435</v>
      </c>
      <c r="AI779">
        <v>322</v>
      </c>
      <c r="AJ779">
        <v>135</v>
      </c>
      <c r="AK779">
        <v>117</v>
      </c>
      <c r="AL779">
        <v>18</v>
      </c>
      <c r="AM779">
        <v>22</v>
      </c>
      <c r="AN779" t="s">
        <v>49</v>
      </c>
      <c r="AO779">
        <v>0.81438515081206497</v>
      </c>
      <c r="AP779">
        <v>174</v>
      </c>
    </row>
    <row r="780" spans="1:42" x14ac:dyDescent="0.35">
      <c r="A780">
        <v>97689</v>
      </c>
      <c r="B780">
        <v>8619</v>
      </c>
      <c r="C780">
        <v>950718</v>
      </c>
      <c r="D780">
        <v>364</v>
      </c>
      <c r="E780" s="147">
        <v>44207</v>
      </c>
      <c r="F780" t="s">
        <v>599</v>
      </c>
      <c r="G780" t="s">
        <v>77</v>
      </c>
      <c r="H780" s="147">
        <v>44212</v>
      </c>
      <c r="I780">
        <v>7</v>
      </c>
      <c r="J780" t="s">
        <v>196</v>
      </c>
      <c r="L780">
        <v>0</v>
      </c>
      <c r="M780">
        <v>0</v>
      </c>
      <c r="U780">
        <v>843</v>
      </c>
      <c r="V780">
        <v>734</v>
      </c>
      <c r="W780">
        <v>0</v>
      </c>
      <c r="X780">
        <v>0</v>
      </c>
      <c r="Y780">
        <v>107</v>
      </c>
      <c r="Z780">
        <v>95</v>
      </c>
      <c r="AA780">
        <v>9</v>
      </c>
      <c r="AB780">
        <v>2</v>
      </c>
      <c r="AC780">
        <v>47</v>
      </c>
      <c r="AD780">
        <v>31</v>
      </c>
      <c r="AG780" t="s">
        <v>291</v>
      </c>
      <c r="AH780" t="s">
        <v>435</v>
      </c>
      <c r="AI780">
        <v>354</v>
      </c>
      <c r="AJ780">
        <v>138</v>
      </c>
      <c r="AK780">
        <v>59</v>
      </c>
      <c r="AL780">
        <v>2</v>
      </c>
      <c r="AM780">
        <v>1</v>
      </c>
      <c r="AN780" t="s">
        <v>49</v>
      </c>
      <c r="AO780">
        <v>0.87069988137603793</v>
      </c>
      <c r="AP780">
        <v>213</v>
      </c>
    </row>
    <row r="781" spans="1:42" x14ac:dyDescent="0.35">
      <c r="A781">
        <v>97709</v>
      </c>
      <c r="B781">
        <v>8619</v>
      </c>
      <c r="C781">
        <v>950738</v>
      </c>
      <c r="D781">
        <v>386</v>
      </c>
      <c r="E781" s="147">
        <v>44207</v>
      </c>
      <c r="F781" t="s">
        <v>604</v>
      </c>
      <c r="G781" t="s">
        <v>105</v>
      </c>
      <c r="H781" s="147">
        <v>44212</v>
      </c>
      <c r="I781">
        <v>7</v>
      </c>
      <c r="J781" t="s">
        <v>196</v>
      </c>
      <c r="L781">
        <v>0</v>
      </c>
      <c r="M781">
        <v>0</v>
      </c>
      <c r="U781">
        <v>1256</v>
      </c>
      <c r="V781">
        <v>1122</v>
      </c>
      <c r="W781">
        <v>0</v>
      </c>
      <c r="X781">
        <v>0</v>
      </c>
      <c r="Y781">
        <v>183</v>
      </c>
      <c r="Z781">
        <v>173</v>
      </c>
      <c r="AA781">
        <v>16</v>
      </c>
      <c r="AB781">
        <v>15</v>
      </c>
      <c r="AC781">
        <v>48</v>
      </c>
      <c r="AD781">
        <v>45</v>
      </c>
      <c r="AG781" t="s">
        <v>1</v>
      </c>
      <c r="AH781" t="s">
        <v>435</v>
      </c>
      <c r="AI781">
        <v>466</v>
      </c>
      <c r="AJ781">
        <v>178</v>
      </c>
      <c r="AK781">
        <v>177</v>
      </c>
      <c r="AL781">
        <v>26</v>
      </c>
      <c r="AM781">
        <v>1</v>
      </c>
      <c r="AN781" t="s">
        <v>49</v>
      </c>
      <c r="AO781">
        <v>0.89331210191082799</v>
      </c>
      <c r="AP781">
        <v>249</v>
      </c>
    </row>
    <row r="782" spans="1:42" x14ac:dyDescent="0.35">
      <c r="A782">
        <v>97735</v>
      </c>
      <c r="B782">
        <v>8619</v>
      </c>
      <c r="C782">
        <v>950764</v>
      </c>
      <c r="D782">
        <v>479</v>
      </c>
      <c r="E782" s="147">
        <v>44207</v>
      </c>
      <c r="F782" t="s">
        <v>601</v>
      </c>
      <c r="G782" t="s">
        <v>160</v>
      </c>
      <c r="H782" s="147">
        <v>44212</v>
      </c>
      <c r="I782">
        <v>7</v>
      </c>
      <c r="J782" t="s">
        <v>196</v>
      </c>
      <c r="L782">
        <v>0</v>
      </c>
      <c r="M782">
        <v>0</v>
      </c>
      <c r="U782">
        <v>1500</v>
      </c>
      <c r="V782">
        <v>1232</v>
      </c>
      <c r="W782">
        <v>0</v>
      </c>
      <c r="X782">
        <v>0</v>
      </c>
      <c r="Y782">
        <v>82</v>
      </c>
      <c r="Z782">
        <v>72</v>
      </c>
      <c r="AA782">
        <v>13</v>
      </c>
      <c r="AB782">
        <v>4</v>
      </c>
      <c r="AC782">
        <v>43</v>
      </c>
      <c r="AD782">
        <v>37</v>
      </c>
      <c r="AG782" t="s">
        <v>226</v>
      </c>
      <c r="AH782" t="s">
        <v>435</v>
      </c>
      <c r="AI782">
        <v>544</v>
      </c>
      <c r="AJ782">
        <v>171</v>
      </c>
      <c r="AK782">
        <v>160</v>
      </c>
      <c r="AL782">
        <v>36</v>
      </c>
      <c r="AM782">
        <v>25</v>
      </c>
      <c r="AN782" t="s">
        <v>49</v>
      </c>
      <c r="AO782">
        <v>0.82133333333333336</v>
      </c>
      <c r="AP782">
        <v>275</v>
      </c>
    </row>
    <row r="783" spans="1:42" x14ac:dyDescent="0.35">
      <c r="A783">
        <v>97770</v>
      </c>
      <c r="B783">
        <v>8619</v>
      </c>
      <c r="C783">
        <v>950799</v>
      </c>
      <c r="D783">
        <v>25510</v>
      </c>
      <c r="E783" s="147">
        <v>44207</v>
      </c>
      <c r="F783" t="s">
        <v>606</v>
      </c>
      <c r="G783" t="s">
        <v>111</v>
      </c>
      <c r="H783" s="147">
        <v>44212</v>
      </c>
      <c r="I783">
        <v>7</v>
      </c>
      <c r="J783" t="s">
        <v>196</v>
      </c>
      <c r="L783">
        <v>0</v>
      </c>
      <c r="M783">
        <v>0</v>
      </c>
      <c r="U783">
        <v>1694</v>
      </c>
      <c r="V783">
        <v>1333</v>
      </c>
      <c r="W783">
        <v>0</v>
      </c>
      <c r="X783">
        <v>0</v>
      </c>
      <c r="Y783">
        <v>109</v>
      </c>
      <c r="Z783">
        <v>90</v>
      </c>
      <c r="AA783">
        <v>36</v>
      </c>
      <c r="AB783">
        <v>33</v>
      </c>
      <c r="AC783">
        <v>44</v>
      </c>
      <c r="AD783">
        <v>32</v>
      </c>
      <c r="AG783" t="s">
        <v>255</v>
      </c>
      <c r="AH783" t="s">
        <v>435</v>
      </c>
      <c r="AI783">
        <v>715</v>
      </c>
      <c r="AJ783">
        <v>310</v>
      </c>
      <c r="AK783">
        <v>166</v>
      </c>
      <c r="AL783">
        <v>8</v>
      </c>
      <c r="AM783">
        <v>1</v>
      </c>
      <c r="AN783" t="s">
        <v>49</v>
      </c>
      <c r="AO783">
        <v>0.78689492325855959</v>
      </c>
      <c r="AP783">
        <v>471</v>
      </c>
    </row>
    <row r="784" spans="1:42" x14ac:dyDescent="0.35">
      <c r="A784">
        <v>97811</v>
      </c>
      <c r="B784">
        <v>8619</v>
      </c>
      <c r="C784">
        <v>950840</v>
      </c>
      <c r="D784">
        <v>307</v>
      </c>
      <c r="E784" s="147">
        <v>44207</v>
      </c>
      <c r="F784" t="s">
        <v>603</v>
      </c>
      <c r="G784" t="s">
        <v>408</v>
      </c>
      <c r="H784" s="147">
        <v>44212</v>
      </c>
      <c r="I784">
        <v>7</v>
      </c>
      <c r="J784" t="s">
        <v>196</v>
      </c>
      <c r="L784">
        <v>0</v>
      </c>
      <c r="M784">
        <v>0</v>
      </c>
      <c r="U784">
        <v>861</v>
      </c>
      <c r="V784">
        <v>673</v>
      </c>
      <c r="W784">
        <v>0</v>
      </c>
      <c r="X784">
        <v>0</v>
      </c>
      <c r="Y784">
        <v>49</v>
      </c>
      <c r="Z784">
        <v>44</v>
      </c>
      <c r="AA784">
        <v>18</v>
      </c>
      <c r="AB784">
        <v>14</v>
      </c>
      <c r="AC784">
        <v>31</v>
      </c>
      <c r="AD784">
        <v>23</v>
      </c>
      <c r="AG784" t="s">
        <v>224</v>
      </c>
      <c r="AH784" t="s">
        <v>435</v>
      </c>
      <c r="AI784">
        <v>312</v>
      </c>
      <c r="AJ784">
        <v>114</v>
      </c>
      <c r="AK784">
        <v>149</v>
      </c>
      <c r="AL784">
        <v>21</v>
      </c>
      <c r="AM784">
        <v>32</v>
      </c>
      <c r="AN784" t="s">
        <v>49</v>
      </c>
      <c r="AO784">
        <v>0.78164924506387923</v>
      </c>
      <c r="AP784">
        <v>181</v>
      </c>
    </row>
    <row r="785" spans="1:42" x14ac:dyDescent="0.35">
      <c r="A785">
        <v>97862</v>
      </c>
      <c r="B785">
        <v>8619</v>
      </c>
      <c r="C785">
        <v>950891</v>
      </c>
      <c r="D785">
        <v>479</v>
      </c>
      <c r="E785" s="147">
        <v>44207</v>
      </c>
      <c r="F785" t="s">
        <v>601</v>
      </c>
      <c r="G785" t="s">
        <v>160</v>
      </c>
      <c r="H785" s="147">
        <v>44213</v>
      </c>
      <c r="I785">
        <v>7</v>
      </c>
      <c r="J785" t="s">
        <v>197</v>
      </c>
      <c r="L785">
        <v>0</v>
      </c>
      <c r="M785">
        <v>0</v>
      </c>
      <c r="U785">
        <v>1492</v>
      </c>
      <c r="V785">
        <v>1270</v>
      </c>
      <c r="W785">
        <v>0</v>
      </c>
      <c r="X785">
        <v>0</v>
      </c>
      <c r="Y785">
        <v>82</v>
      </c>
      <c r="Z785">
        <v>69</v>
      </c>
      <c r="AA785">
        <v>13</v>
      </c>
      <c r="AB785">
        <v>4</v>
      </c>
      <c r="AC785">
        <v>42</v>
      </c>
      <c r="AD785">
        <v>38</v>
      </c>
      <c r="AG785" t="s">
        <v>226</v>
      </c>
      <c r="AH785" t="s">
        <v>435</v>
      </c>
      <c r="AI785">
        <v>555</v>
      </c>
      <c r="AJ785">
        <v>173</v>
      </c>
      <c r="AK785">
        <v>145</v>
      </c>
      <c r="AL785">
        <v>17</v>
      </c>
      <c r="AM785">
        <v>9</v>
      </c>
      <c r="AN785" t="s">
        <v>49</v>
      </c>
      <c r="AO785">
        <v>0.8512064343163539</v>
      </c>
      <c r="AP785">
        <v>283</v>
      </c>
    </row>
    <row r="786" spans="1:42" x14ac:dyDescent="0.35">
      <c r="A786">
        <v>97897</v>
      </c>
      <c r="B786">
        <v>8619</v>
      </c>
      <c r="C786">
        <v>950926</v>
      </c>
      <c r="D786">
        <v>25510</v>
      </c>
      <c r="E786" s="147">
        <v>44207</v>
      </c>
      <c r="F786" t="s">
        <v>606</v>
      </c>
      <c r="G786" t="s">
        <v>111</v>
      </c>
      <c r="H786" s="147">
        <v>44213</v>
      </c>
      <c r="I786">
        <v>7</v>
      </c>
      <c r="J786" t="s">
        <v>197</v>
      </c>
      <c r="L786">
        <v>0</v>
      </c>
      <c r="M786">
        <v>0</v>
      </c>
      <c r="U786">
        <v>1667</v>
      </c>
      <c r="V786">
        <v>1334</v>
      </c>
      <c r="W786">
        <v>0</v>
      </c>
      <c r="X786">
        <v>0</v>
      </c>
      <c r="Y786">
        <v>109</v>
      </c>
      <c r="Z786">
        <v>92</v>
      </c>
      <c r="AA786">
        <v>36</v>
      </c>
      <c r="AB786">
        <v>31</v>
      </c>
      <c r="AC786">
        <v>44</v>
      </c>
      <c r="AD786">
        <v>36</v>
      </c>
      <c r="AG786" t="s">
        <v>255</v>
      </c>
      <c r="AH786" t="s">
        <v>435</v>
      </c>
      <c r="AI786">
        <v>710</v>
      </c>
      <c r="AJ786">
        <v>304</v>
      </c>
      <c r="AK786">
        <v>145</v>
      </c>
      <c r="AL786">
        <v>3</v>
      </c>
      <c r="AM786">
        <v>4</v>
      </c>
      <c r="AN786" t="s">
        <v>49</v>
      </c>
      <c r="AO786">
        <v>0.80023995200959808</v>
      </c>
      <c r="AP786">
        <v>469</v>
      </c>
    </row>
    <row r="787" spans="1:42" x14ac:dyDescent="0.35">
      <c r="A787">
        <v>97938</v>
      </c>
      <c r="B787">
        <v>8619</v>
      </c>
      <c r="C787">
        <v>950967</v>
      </c>
      <c r="D787">
        <v>307</v>
      </c>
      <c r="E787" s="147">
        <v>44207</v>
      </c>
      <c r="F787" t="s">
        <v>603</v>
      </c>
      <c r="G787" t="s">
        <v>408</v>
      </c>
      <c r="H787" s="147">
        <v>44213</v>
      </c>
      <c r="I787">
        <v>7</v>
      </c>
      <c r="J787" t="s">
        <v>197</v>
      </c>
      <c r="L787">
        <v>0</v>
      </c>
      <c r="M787">
        <v>0</v>
      </c>
      <c r="U787">
        <v>903</v>
      </c>
      <c r="V787">
        <v>700</v>
      </c>
      <c r="W787">
        <v>0</v>
      </c>
      <c r="X787">
        <v>0</v>
      </c>
      <c r="Y787">
        <v>49</v>
      </c>
      <c r="Z787">
        <v>49</v>
      </c>
      <c r="AA787">
        <v>18</v>
      </c>
      <c r="AB787">
        <v>14</v>
      </c>
      <c r="AC787">
        <v>31</v>
      </c>
      <c r="AD787">
        <v>23</v>
      </c>
      <c r="AG787" t="s">
        <v>224</v>
      </c>
      <c r="AH787" t="s">
        <v>435</v>
      </c>
      <c r="AI787">
        <v>322</v>
      </c>
      <c r="AJ787">
        <v>125</v>
      </c>
      <c r="AK787">
        <v>128</v>
      </c>
      <c r="AL787">
        <v>25</v>
      </c>
      <c r="AM787">
        <v>12</v>
      </c>
      <c r="AN787" t="s">
        <v>49</v>
      </c>
      <c r="AO787">
        <v>0.77519379844961245</v>
      </c>
      <c r="AP787">
        <v>191</v>
      </c>
    </row>
    <row r="788" spans="1:42" x14ac:dyDescent="0.35">
      <c r="A788">
        <v>97068</v>
      </c>
      <c r="B788">
        <v>8619</v>
      </c>
      <c r="C788">
        <v>950097</v>
      </c>
      <c r="D788">
        <v>429</v>
      </c>
      <c r="E788" s="147">
        <v>44207</v>
      </c>
      <c r="F788" t="s">
        <v>608</v>
      </c>
      <c r="G788" t="s">
        <v>78</v>
      </c>
      <c r="H788" s="147">
        <v>44207</v>
      </c>
      <c r="I788">
        <v>7</v>
      </c>
      <c r="J788" t="s">
        <v>195</v>
      </c>
      <c r="L788">
        <v>0</v>
      </c>
      <c r="M788">
        <v>0</v>
      </c>
      <c r="U788">
        <v>681</v>
      </c>
      <c r="V788">
        <v>642</v>
      </c>
      <c r="W788">
        <v>0</v>
      </c>
      <c r="X788">
        <v>0</v>
      </c>
      <c r="Y788">
        <v>51</v>
      </c>
      <c r="Z788">
        <v>49</v>
      </c>
      <c r="AA788">
        <v>10</v>
      </c>
      <c r="AB788">
        <v>5</v>
      </c>
      <c r="AC788">
        <v>50</v>
      </c>
      <c r="AD788">
        <v>39</v>
      </c>
      <c r="AG788" t="s">
        <v>1</v>
      </c>
      <c r="AH788" t="s">
        <v>435</v>
      </c>
      <c r="AI788">
        <v>261</v>
      </c>
      <c r="AJ788">
        <v>74</v>
      </c>
      <c r="AK788">
        <v>128</v>
      </c>
      <c r="AL788">
        <v>15</v>
      </c>
      <c r="AM788">
        <v>0</v>
      </c>
      <c r="AN788" t="s">
        <v>49</v>
      </c>
      <c r="AO788">
        <v>0.94273127753303965</v>
      </c>
      <c r="AP788">
        <v>140</v>
      </c>
    </row>
    <row r="789" spans="1:42" x14ac:dyDescent="0.35">
      <c r="A789">
        <v>97071</v>
      </c>
      <c r="B789">
        <v>8619</v>
      </c>
      <c r="C789">
        <v>950100</v>
      </c>
      <c r="D789">
        <v>373</v>
      </c>
      <c r="E789" s="147">
        <v>44207</v>
      </c>
      <c r="F789" t="s">
        <v>609</v>
      </c>
      <c r="G789" t="s">
        <v>97</v>
      </c>
      <c r="H789" s="147">
        <v>44207</v>
      </c>
      <c r="I789">
        <v>7</v>
      </c>
      <c r="J789" t="s">
        <v>195</v>
      </c>
      <c r="L789">
        <v>0</v>
      </c>
      <c r="M789">
        <v>0</v>
      </c>
      <c r="U789">
        <v>863</v>
      </c>
      <c r="V789">
        <v>666</v>
      </c>
      <c r="W789">
        <v>0</v>
      </c>
      <c r="X789">
        <v>0</v>
      </c>
      <c r="Y789">
        <v>190</v>
      </c>
      <c r="Z789">
        <v>167</v>
      </c>
      <c r="AA789">
        <v>19</v>
      </c>
      <c r="AB789">
        <v>10</v>
      </c>
      <c r="AC789">
        <v>20</v>
      </c>
      <c r="AD789">
        <v>16</v>
      </c>
      <c r="AG789" t="s">
        <v>1</v>
      </c>
      <c r="AH789" t="s">
        <v>435</v>
      </c>
      <c r="AI789">
        <v>275</v>
      </c>
      <c r="AJ789">
        <v>120</v>
      </c>
      <c r="AK789">
        <v>79</v>
      </c>
      <c r="AL789">
        <v>2</v>
      </c>
      <c r="AM789">
        <v>0</v>
      </c>
      <c r="AN789" t="s">
        <v>49</v>
      </c>
      <c r="AO789">
        <v>0.77172653534183078</v>
      </c>
      <c r="AP789">
        <v>166</v>
      </c>
    </row>
    <row r="790" spans="1:42" x14ac:dyDescent="0.35">
      <c r="A790">
        <v>97073</v>
      </c>
      <c r="B790">
        <v>8619</v>
      </c>
      <c r="C790">
        <v>950102</v>
      </c>
      <c r="D790">
        <v>535</v>
      </c>
      <c r="E790" s="147">
        <v>44207</v>
      </c>
      <c r="F790" t="s">
        <v>552</v>
      </c>
      <c r="G790" t="s">
        <v>101</v>
      </c>
      <c r="H790" s="147">
        <v>44207</v>
      </c>
      <c r="I790">
        <v>7</v>
      </c>
      <c r="J790" t="s">
        <v>195</v>
      </c>
      <c r="L790">
        <v>0</v>
      </c>
      <c r="M790">
        <v>0</v>
      </c>
      <c r="U790">
        <v>1046</v>
      </c>
      <c r="V790">
        <v>877</v>
      </c>
      <c r="W790">
        <v>0</v>
      </c>
      <c r="X790">
        <v>0</v>
      </c>
      <c r="Y790">
        <v>124</v>
      </c>
      <c r="Z790">
        <v>116</v>
      </c>
      <c r="AA790">
        <v>7</v>
      </c>
      <c r="AB790">
        <v>5</v>
      </c>
      <c r="AC790">
        <v>46</v>
      </c>
      <c r="AD790">
        <v>39</v>
      </c>
      <c r="AG790" t="s">
        <v>1</v>
      </c>
      <c r="AH790" t="s">
        <v>435</v>
      </c>
      <c r="AI790">
        <v>438</v>
      </c>
      <c r="AJ790">
        <v>150</v>
      </c>
      <c r="AK790">
        <v>148</v>
      </c>
      <c r="AL790">
        <v>10</v>
      </c>
      <c r="AM790">
        <v>0</v>
      </c>
      <c r="AN790" t="s">
        <v>49</v>
      </c>
      <c r="AO790">
        <v>0.83843212237093689</v>
      </c>
      <c r="AP790">
        <v>232</v>
      </c>
    </row>
    <row r="791" spans="1:42" x14ac:dyDescent="0.35">
      <c r="A791">
        <v>97074</v>
      </c>
      <c r="B791">
        <v>8619</v>
      </c>
      <c r="C791">
        <v>950103</v>
      </c>
      <c r="D791">
        <v>386</v>
      </c>
      <c r="E791" s="147">
        <v>44207</v>
      </c>
      <c r="F791" t="s">
        <v>604</v>
      </c>
      <c r="G791" t="s">
        <v>105</v>
      </c>
      <c r="H791" s="147">
        <v>44207</v>
      </c>
      <c r="I791">
        <v>7</v>
      </c>
      <c r="J791" t="s">
        <v>195</v>
      </c>
      <c r="L791">
        <v>0</v>
      </c>
      <c r="M791">
        <v>0</v>
      </c>
      <c r="U791">
        <v>1233</v>
      </c>
      <c r="V791">
        <v>1203</v>
      </c>
      <c r="W791">
        <v>0</v>
      </c>
      <c r="X791">
        <v>0</v>
      </c>
      <c r="Y791">
        <v>182</v>
      </c>
      <c r="Z791">
        <v>157</v>
      </c>
      <c r="AA791">
        <v>16</v>
      </c>
      <c r="AB791">
        <v>14</v>
      </c>
      <c r="AC791">
        <v>48</v>
      </c>
      <c r="AD791">
        <v>45</v>
      </c>
      <c r="AG791" t="s">
        <v>1</v>
      </c>
      <c r="AH791" t="s">
        <v>435</v>
      </c>
      <c r="AI791">
        <v>484</v>
      </c>
      <c r="AJ791">
        <v>193</v>
      </c>
      <c r="AK791">
        <v>176</v>
      </c>
      <c r="AL791">
        <v>1</v>
      </c>
      <c r="AM791">
        <v>0</v>
      </c>
      <c r="AN791" t="s">
        <v>49</v>
      </c>
      <c r="AO791">
        <v>0.97566909975669103</v>
      </c>
      <c r="AP791">
        <v>296</v>
      </c>
    </row>
    <row r="792" spans="1:42" x14ac:dyDescent="0.35">
      <c r="A792">
        <v>97084</v>
      </c>
      <c r="B792">
        <v>8619</v>
      </c>
      <c r="C792">
        <v>950113</v>
      </c>
      <c r="D792">
        <v>425</v>
      </c>
      <c r="E792" s="147">
        <v>44207</v>
      </c>
      <c r="F792" t="s">
        <v>607</v>
      </c>
      <c r="G792" t="s">
        <v>70</v>
      </c>
      <c r="H792" s="147">
        <v>44207</v>
      </c>
      <c r="I792">
        <v>7</v>
      </c>
      <c r="J792" t="s">
        <v>195</v>
      </c>
      <c r="L792">
        <v>0</v>
      </c>
      <c r="M792">
        <v>0</v>
      </c>
      <c r="U792">
        <v>214</v>
      </c>
      <c r="V792">
        <v>153</v>
      </c>
      <c r="W792">
        <v>0</v>
      </c>
      <c r="X792">
        <v>0</v>
      </c>
      <c r="Y792">
        <v>0</v>
      </c>
      <c r="Z792">
        <v>0</v>
      </c>
      <c r="AA792">
        <v>25</v>
      </c>
      <c r="AB792">
        <v>23</v>
      </c>
      <c r="AC792">
        <v>21</v>
      </c>
      <c r="AD792">
        <v>15</v>
      </c>
      <c r="AG792" t="s">
        <v>226</v>
      </c>
      <c r="AH792" t="s">
        <v>435</v>
      </c>
      <c r="AI792">
        <v>6</v>
      </c>
      <c r="AJ792">
        <v>6</v>
      </c>
      <c r="AK792">
        <v>22</v>
      </c>
      <c r="AL792">
        <v>7</v>
      </c>
      <c r="AM792">
        <v>0</v>
      </c>
      <c r="AN792" t="s">
        <v>49</v>
      </c>
      <c r="AO792">
        <v>0.71495327102803741</v>
      </c>
      <c r="AP792">
        <v>6</v>
      </c>
    </row>
    <row r="793" spans="1:42" x14ac:dyDescent="0.35">
      <c r="A793">
        <v>97089</v>
      </c>
      <c r="B793">
        <v>8619</v>
      </c>
      <c r="C793">
        <v>950118</v>
      </c>
      <c r="D793">
        <v>492</v>
      </c>
      <c r="E793" s="147">
        <v>44207</v>
      </c>
      <c r="F793" t="s">
        <v>605</v>
      </c>
      <c r="G793" t="s">
        <v>125</v>
      </c>
      <c r="H793" s="147">
        <v>44207</v>
      </c>
      <c r="I793">
        <v>7</v>
      </c>
      <c r="J793" t="s">
        <v>195</v>
      </c>
      <c r="L793">
        <v>0</v>
      </c>
      <c r="M793">
        <v>0</v>
      </c>
      <c r="U793">
        <v>1505</v>
      </c>
      <c r="V793">
        <v>1305</v>
      </c>
      <c r="W793">
        <v>0</v>
      </c>
      <c r="X793">
        <v>0</v>
      </c>
      <c r="Y793">
        <v>88</v>
      </c>
      <c r="Z793">
        <v>71</v>
      </c>
      <c r="AA793">
        <v>14</v>
      </c>
      <c r="AB793">
        <v>13</v>
      </c>
      <c r="AC793">
        <v>41</v>
      </c>
      <c r="AD793">
        <v>34</v>
      </c>
      <c r="AG793" t="s">
        <v>226</v>
      </c>
      <c r="AH793" t="s">
        <v>435</v>
      </c>
      <c r="AI793">
        <v>657</v>
      </c>
      <c r="AJ793">
        <v>238</v>
      </c>
      <c r="AK793">
        <v>143</v>
      </c>
      <c r="AL793">
        <v>6</v>
      </c>
      <c r="AM793">
        <v>0</v>
      </c>
      <c r="AN793" t="s">
        <v>49</v>
      </c>
      <c r="AO793">
        <v>0.86710963455149503</v>
      </c>
      <c r="AP793">
        <v>374</v>
      </c>
    </row>
    <row r="794" spans="1:42" x14ac:dyDescent="0.35">
      <c r="A794">
        <v>97114</v>
      </c>
      <c r="B794">
        <v>8619</v>
      </c>
      <c r="C794">
        <v>950143</v>
      </c>
      <c r="D794">
        <v>436</v>
      </c>
      <c r="E794" s="147">
        <v>44207</v>
      </c>
      <c r="F794" t="s">
        <v>610</v>
      </c>
      <c r="G794" t="s">
        <v>108</v>
      </c>
      <c r="H794" s="147">
        <v>44207</v>
      </c>
      <c r="I794">
        <v>7</v>
      </c>
      <c r="J794" t="s">
        <v>195</v>
      </c>
      <c r="L794">
        <v>0</v>
      </c>
      <c r="M794">
        <v>0</v>
      </c>
      <c r="U794">
        <v>1664</v>
      </c>
      <c r="V794">
        <v>1498</v>
      </c>
      <c r="W794">
        <v>0</v>
      </c>
      <c r="X794">
        <v>0</v>
      </c>
      <c r="Y794">
        <v>75</v>
      </c>
      <c r="Z794">
        <v>75</v>
      </c>
      <c r="AA794">
        <v>16</v>
      </c>
      <c r="AB794">
        <v>4</v>
      </c>
      <c r="AC794">
        <v>22</v>
      </c>
      <c r="AD794">
        <v>13</v>
      </c>
      <c r="AG794" t="s">
        <v>258</v>
      </c>
      <c r="AH794" t="s">
        <v>435</v>
      </c>
      <c r="AI794">
        <v>820</v>
      </c>
      <c r="AJ794">
        <v>351</v>
      </c>
      <c r="AK794">
        <v>203</v>
      </c>
      <c r="AL794">
        <v>1</v>
      </c>
      <c r="AM794">
        <v>0</v>
      </c>
      <c r="AN794" t="s">
        <v>49</v>
      </c>
      <c r="AO794">
        <v>0.90024038461538458</v>
      </c>
      <c r="AP794">
        <v>494</v>
      </c>
    </row>
    <row r="795" spans="1:42" x14ac:dyDescent="0.35">
      <c r="A795">
        <v>97120</v>
      </c>
      <c r="B795">
        <v>8619</v>
      </c>
      <c r="C795">
        <v>950149</v>
      </c>
      <c r="D795">
        <v>335</v>
      </c>
      <c r="E795" s="147">
        <v>44207</v>
      </c>
      <c r="F795" t="s">
        <v>611</v>
      </c>
      <c r="G795" t="s">
        <v>136</v>
      </c>
      <c r="H795" s="147">
        <v>44207</v>
      </c>
      <c r="I795">
        <v>7</v>
      </c>
      <c r="J795" t="s">
        <v>195</v>
      </c>
      <c r="L795">
        <v>0</v>
      </c>
      <c r="M795">
        <v>0</v>
      </c>
      <c r="U795">
        <v>117</v>
      </c>
      <c r="V795">
        <v>82</v>
      </c>
      <c r="W795">
        <v>0</v>
      </c>
      <c r="X795">
        <v>0</v>
      </c>
      <c r="Y795">
        <v>0</v>
      </c>
      <c r="Z795">
        <v>0</v>
      </c>
      <c r="AA795">
        <v>5</v>
      </c>
      <c r="AB795">
        <v>1</v>
      </c>
      <c r="AC795">
        <v>2</v>
      </c>
      <c r="AD795">
        <v>1</v>
      </c>
      <c r="AG795" t="s">
        <v>258</v>
      </c>
      <c r="AH795" t="s">
        <v>435</v>
      </c>
      <c r="AI795">
        <v>0</v>
      </c>
      <c r="AJ795">
        <v>0</v>
      </c>
      <c r="AK795">
        <v>5</v>
      </c>
      <c r="AL795">
        <v>0</v>
      </c>
      <c r="AM795">
        <v>0</v>
      </c>
      <c r="AN795" t="s">
        <v>49</v>
      </c>
      <c r="AO795">
        <v>0.70085470085470081</v>
      </c>
      <c r="AP795">
        <v>0</v>
      </c>
    </row>
    <row r="796" spans="1:42" x14ac:dyDescent="0.35">
      <c r="A796">
        <v>97124</v>
      </c>
      <c r="B796">
        <v>8619</v>
      </c>
      <c r="C796">
        <v>950153</v>
      </c>
      <c r="D796">
        <v>450</v>
      </c>
      <c r="E796" s="147">
        <v>44207</v>
      </c>
      <c r="F796" t="s">
        <v>612</v>
      </c>
      <c r="G796" t="s">
        <v>150</v>
      </c>
      <c r="H796" s="147">
        <v>44207</v>
      </c>
      <c r="I796">
        <v>7</v>
      </c>
      <c r="J796" t="s">
        <v>195</v>
      </c>
      <c r="L796">
        <v>0</v>
      </c>
      <c r="M796">
        <v>0</v>
      </c>
      <c r="U796">
        <v>1284</v>
      </c>
      <c r="V796">
        <v>1041</v>
      </c>
      <c r="W796">
        <v>0</v>
      </c>
      <c r="X796">
        <v>0</v>
      </c>
      <c r="Y796">
        <v>93</v>
      </c>
      <c r="Z796">
        <v>66</v>
      </c>
      <c r="AA796">
        <v>29</v>
      </c>
      <c r="AB796">
        <v>19</v>
      </c>
      <c r="AC796">
        <v>12</v>
      </c>
      <c r="AD796">
        <v>6</v>
      </c>
      <c r="AG796" t="s">
        <v>258</v>
      </c>
      <c r="AH796" t="s">
        <v>435</v>
      </c>
      <c r="AI796">
        <v>500</v>
      </c>
      <c r="AJ796">
        <v>192</v>
      </c>
      <c r="AK796">
        <v>95</v>
      </c>
      <c r="AL796">
        <v>2</v>
      </c>
      <c r="AM796">
        <v>0</v>
      </c>
      <c r="AN796" t="s">
        <v>49</v>
      </c>
      <c r="AO796">
        <v>0.81074766355140182</v>
      </c>
      <c r="AP796">
        <v>308</v>
      </c>
    </row>
    <row r="797" spans="1:42" x14ac:dyDescent="0.35">
      <c r="A797">
        <v>97127</v>
      </c>
      <c r="B797">
        <v>8619</v>
      </c>
      <c r="C797">
        <v>950156</v>
      </c>
      <c r="D797">
        <v>324</v>
      </c>
      <c r="E797" s="147">
        <v>44207</v>
      </c>
      <c r="F797" t="s">
        <v>613</v>
      </c>
      <c r="G797" t="s">
        <v>65</v>
      </c>
      <c r="H797" s="147">
        <v>44207</v>
      </c>
      <c r="I797">
        <v>7</v>
      </c>
      <c r="J797" t="s">
        <v>195</v>
      </c>
      <c r="L797">
        <v>0</v>
      </c>
      <c r="M797">
        <v>0</v>
      </c>
      <c r="U797">
        <v>186</v>
      </c>
      <c r="V797">
        <v>119</v>
      </c>
      <c r="W797">
        <v>0</v>
      </c>
      <c r="X797">
        <v>0</v>
      </c>
      <c r="Y797">
        <v>0</v>
      </c>
      <c r="Z797">
        <v>0</v>
      </c>
      <c r="AA797">
        <v>21</v>
      </c>
      <c r="AB797">
        <v>10</v>
      </c>
      <c r="AC797">
        <v>0</v>
      </c>
      <c r="AD797">
        <v>0</v>
      </c>
      <c r="AG797" t="s">
        <v>255</v>
      </c>
      <c r="AH797" t="s">
        <v>435</v>
      </c>
      <c r="AI797">
        <v>2</v>
      </c>
      <c r="AJ797">
        <v>3</v>
      </c>
      <c r="AK797">
        <v>6</v>
      </c>
      <c r="AL797">
        <v>0</v>
      </c>
      <c r="AM797">
        <v>0</v>
      </c>
      <c r="AN797" t="s">
        <v>49</v>
      </c>
      <c r="AO797">
        <v>0.63978494623655913</v>
      </c>
      <c r="AP797">
        <v>2</v>
      </c>
    </row>
    <row r="798" spans="1:42" x14ac:dyDescent="0.35">
      <c r="A798">
        <v>97135</v>
      </c>
      <c r="B798">
        <v>8619</v>
      </c>
      <c r="C798">
        <v>950164</v>
      </c>
      <c r="D798">
        <v>25510</v>
      </c>
      <c r="E798" s="147">
        <v>44207</v>
      </c>
      <c r="F798" t="s">
        <v>606</v>
      </c>
      <c r="G798" t="s">
        <v>111</v>
      </c>
      <c r="H798" s="147">
        <v>44207</v>
      </c>
      <c r="I798">
        <v>7</v>
      </c>
      <c r="J798" t="s">
        <v>195</v>
      </c>
      <c r="L798">
        <v>0</v>
      </c>
      <c r="M798">
        <v>0</v>
      </c>
      <c r="U798">
        <v>1741</v>
      </c>
      <c r="V798">
        <v>1497</v>
      </c>
      <c r="W798">
        <v>0</v>
      </c>
      <c r="X798">
        <v>0</v>
      </c>
      <c r="Y798">
        <v>107</v>
      </c>
      <c r="Z798">
        <v>91</v>
      </c>
      <c r="AA798">
        <v>35</v>
      </c>
      <c r="AB798">
        <v>32</v>
      </c>
      <c r="AC798">
        <v>44</v>
      </c>
      <c r="AD798">
        <v>33</v>
      </c>
      <c r="AG798" t="s">
        <v>255</v>
      </c>
      <c r="AH798" t="s">
        <v>435</v>
      </c>
      <c r="AI798">
        <v>836</v>
      </c>
      <c r="AJ798">
        <v>355</v>
      </c>
      <c r="AK798">
        <v>129</v>
      </c>
      <c r="AL798">
        <v>4</v>
      </c>
      <c r="AM798">
        <v>0</v>
      </c>
      <c r="AN798" t="s">
        <v>49</v>
      </c>
      <c r="AO798">
        <v>0.85985066053991954</v>
      </c>
      <c r="AP798">
        <v>519</v>
      </c>
    </row>
    <row r="799" spans="1:42" x14ac:dyDescent="0.35">
      <c r="A799">
        <v>97163</v>
      </c>
      <c r="B799">
        <v>8619</v>
      </c>
      <c r="C799">
        <v>950192</v>
      </c>
      <c r="D799">
        <v>368</v>
      </c>
      <c r="E799" s="147">
        <v>44207</v>
      </c>
      <c r="F799" t="s">
        <v>614</v>
      </c>
      <c r="G799" t="s">
        <v>157</v>
      </c>
      <c r="H799" s="147">
        <v>44207</v>
      </c>
      <c r="I799">
        <v>7</v>
      </c>
      <c r="J799" t="s">
        <v>195</v>
      </c>
      <c r="L799">
        <v>0</v>
      </c>
      <c r="M799">
        <v>0</v>
      </c>
      <c r="U799">
        <v>1004</v>
      </c>
      <c r="V799">
        <v>863</v>
      </c>
      <c r="W799">
        <v>0</v>
      </c>
      <c r="X799">
        <v>0</v>
      </c>
      <c r="Y799">
        <v>101</v>
      </c>
      <c r="Z799">
        <v>98</v>
      </c>
      <c r="AA799">
        <v>14</v>
      </c>
      <c r="AB799">
        <v>4</v>
      </c>
      <c r="AC799">
        <v>12</v>
      </c>
      <c r="AD799">
        <v>9</v>
      </c>
      <c r="AG799" t="s">
        <v>223</v>
      </c>
      <c r="AH799" t="s">
        <v>435</v>
      </c>
      <c r="AI799">
        <v>508</v>
      </c>
      <c r="AJ799">
        <v>167</v>
      </c>
      <c r="AK799">
        <v>129</v>
      </c>
      <c r="AL799">
        <v>5</v>
      </c>
      <c r="AM799">
        <v>0</v>
      </c>
      <c r="AN799" t="s">
        <v>49</v>
      </c>
      <c r="AO799">
        <v>0.85956175298804782</v>
      </c>
      <c r="AP799">
        <v>270</v>
      </c>
    </row>
    <row r="800" spans="1:42" x14ac:dyDescent="0.35">
      <c r="A800">
        <v>97181</v>
      </c>
      <c r="B800">
        <v>8619</v>
      </c>
      <c r="C800">
        <v>950210</v>
      </c>
      <c r="D800">
        <v>364</v>
      </c>
      <c r="E800" s="147">
        <v>44207</v>
      </c>
      <c r="F800" t="s">
        <v>599</v>
      </c>
      <c r="G800" t="s">
        <v>77</v>
      </c>
      <c r="H800" s="147">
        <v>44208</v>
      </c>
      <c r="I800">
        <v>7</v>
      </c>
      <c r="J800" t="s">
        <v>199</v>
      </c>
      <c r="L800">
        <v>0</v>
      </c>
      <c r="M800">
        <v>0</v>
      </c>
      <c r="U800">
        <v>865</v>
      </c>
      <c r="V800">
        <v>755</v>
      </c>
      <c r="W800">
        <v>0</v>
      </c>
      <c r="X800">
        <v>0</v>
      </c>
      <c r="Y800">
        <v>101</v>
      </c>
      <c r="Z800">
        <v>85</v>
      </c>
      <c r="AA800">
        <v>9</v>
      </c>
      <c r="AB800">
        <v>4</v>
      </c>
      <c r="AC800">
        <v>49</v>
      </c>
      <c r="AD800">
        <v>36</v>
      </c>
      <c r="AG800" t="s">
        <v>291</v>
      </c>
      <c r="AH800" t="s">
        <v>435</v>
      </c>
      <c r="AI800">
        <v>381</v>
      </c>
      <c r="AJ800">
        <v>148</v>
      </c>
      <c r="AK800">
        <v>64</v>
      </c>
      <c r="AL800">
        <v>4</v>
      </c>
      <c r="AM800">
        <v>0</v>
      </c>
      <c r="AN800" t="s">
        <v>49</v>
      </c>
      <c r="AO800">
        <v>0.87283236994219648</v>
      </c>
      <c r="AP800">
        <v>233</v>
      </c>
    </row>
    <row r="801" spans="1:42" x14ac:dyDescent="0.35">
      <c r="A801">
        <v>97195</v>
      </c>
      <c r="B801">
        <v>8619</v>
      </c>
      <c r="C801">
        <v>950224</v>
      </c>
      <c r="D801">
        <v>429</v>
      </c>
      <c r="E801" s="147">
        <v>44207</v>
      </c>
      <c r="F801" t="s">
        <v>608</v>
      </c>
      <c r="G801" t="s">
        <v>78</v>
      </c>
      <c r="H801" s="147">
        <v>44208</v>
      </c>
      <c r="I801">
        <v>7</v>
      </c>
      <c r="J801" t="s">
        <v>199</v>
      </c>
      <c r="L801">
        <v>0</v>
      </c>
      <c r="M801">
        <v>0</v>
      </c>
      <c r="U801">
        <v>673</v>
      </c>
      <c r="V801">
        <v>650</v>
      </c>
      <c r="W801">
        <v>0</v>
      </c>
      <c r="X801">
        <v>0</v>
      </c>
      <c r="Y801">
        <v>57</v>
      </c>
      <c r="Z801">
        <v>53</v>
      </c>
      <c r="AA801">
        <v>10</v>
      </c>
      <c r="AB801">
        <v>9</v>
      </c>
      <c r="AC801">
        <v>50</v>
      </c>
      <c r="AD801">
        <v>39</v>
      </c>
      <c r="AG801" t="s">
        <v>1</v>
      </c>
      <c r="AH801" t="s">
        <v>435</v>
      </c>
      <c r="AI801">
        <v>274</v>
      </c>
      <c r="AJ801">
        <v>77</v>
      </c>
      <c r="AK801">
        <v>120</v>
      </c>
      <c r="AL801">
        <v>18</v>
      </c>
      <c r="AM801">
        <v>0</v>
      </c>
      <c r="AN801" t="s">
        <v>49</v>
      </c>
      <c r="AO801">
        <v>0.96582466567607728</v>
      </c>
      <c r="AP801">
        <v>140</v>
      </c>
    </row>
    <row r="802" spans="1:42" x14ac:dyDescent="0.35">
      <c r="A802">
        <v>97198</v>
      </c>
      <c r="B802">
        <v>8619</v>
      </c>
      <c r="C802">
        <v>950227</v>
      </c>
      <c r="D802">
        <v>373</v>
      </c>
      <c r="E802" s="147">
        <v>44207</v>
      </c>
      <c r="F802" t="s">
        <v>609</v>
      </c>
      <c r="G802" t="s">
        <v>97</v>
      </c>
      <c r="H802" s="147">
        <v>44208</v>
      </c>
      <c r="I802">
        <v>7</v>
      </c>
      <c r="J802" t="s">
        <v>199</v>
      </c>
      <c r="L802">
        <v>0</v>
      </c>
      <c r="M802">
        <v>0</v>
      </c>
      <c r="U802">
        <v>932</v>
      </c>
      <c r="V802">
        <v>696</v>
      </c>
      <c r="W802">
        <v>0</v>
      </c>
      <c r="X802">
        <v>0</v>
      </c>
      <c r="Y802">
        <v>190</v>
      </c>
      <c r="Z802">
        <v>169</v>
      </c>
      <c r="AA802">
        <v>20</v>
      </c>
      <c r="AB802">
        <v>14</v>
      </c>
      <c r="AC802">
        <v>20</v>
      </c>
      <c r="AD802">
        <v>17</v>
      </c>
      <c r="AG802" t="s">
        <v>1</v>
      </c>
      <c r="AH802" t="s">
        <v>435</v>
      </c>
      <c r="AI802">
        <v>248</v>
      </c>
      <c r="AJ802">
        <v>144</v>
      </c>
      <c r="AK802">
        <v>68</v>
      </c>
      <c r="AL802">
        <v>2</v>
      </c>
      <c r="AM802">
        <v>0</v>
      </c>
      <c r="AN802" t="s">
        <v>49</v>
      </c>
      <c r="AO802">
        <v>0.74678111587982832</v>
      </c>
      <c r="AP802">
        <v>151</v>
      </c>
    </row>
    <row r="803" spans="1:42" x14ac:dyDescent="0.35">
      <c r="A803">
        <v>97200</v>
      </c>
      <c r="B803">
        <v>8619</v>
      </c>
      <c r="C803">
        <v>950229</v>
      </c>
      <c r="D803">
        <v>535</v>
      </c>
      <c r="E803" s="147">
        <v>44207</v>
      </c>
      <c r="F803" t="s">
        <v>552</v>
      </c>
      <c r="G803" t="s">
        <v>101</v>
      </c>
      <c r="H803" s="147">
        <v>44208</v>
      </c>
      <c r="I803">
        <v>7</v>
      </c>
      <c r="J803" t="s">
        <v>199</v>
      </c>
      <c r="L803">
        <v>0</v>
      </c>
      <c r="M803">
        <v>0</v>
      </c>
      <c r="U803">
        <v>1031</v>
      </c>
      <c r="V803">
        <v>819</v>
      </c>
      <c r="W803">
        <v>0</v>
      </c>
      <c r="X803">
        <v>0</v>
      </c>
      <c r="Y803">
        <v>124</v>
      </c>
      <c r="Z803">
        <v>120</v>
      </c>
      <c r="AA803">
        <v>4</v>
      </c>
      <c r="AB803">
        <v>2</v>
      </c>
      <c r="AC803">
        <v>46</v>
      </c>
      <c r="AD803">
        <v>37</v>
      </c>
      <c r="AG803" t="s">
        <v>1</v>
      </c>
      <c r="AH803" t="s">
        <v>435</v>
      </c>
      <c r="AI803">
        <v>447</v>
      </c>
      <c r="AJ803">
        <v>155</v>
      </c>
      <c r="AK803">
        <v>142</v>
      </c>
      <c r="AL803">
        <v>17</v>
      </c>
      <c r="AM803">
        <v>0</v>
      </c>
      <c r="AN803" t="s">
        <v>49</v>
      </c>
      <c r="AO803">
        <v>0.79437439379243457</v>
      </c>
      <c r="AP803">
        <v>226</v>
      </c>
    </row>
    <row r="804" spans="1:42" x14ac:dyDescent="0.35">
      <c r="A804">
        <v>97207</v>
      </c>
      <c r="B804">
        <v>8619</v>
      </c>
      <c r="C804">
        <v>950236</v>
      </c>
      <c r="D804">
        <v>376</v>
      </c>
      <c r="E804" s="147">
        <v>44207</v>
      </c>
      <c r="F804" t="s">
        <v>600</v>
      </c>
      <c r="G804" t="s">
        <v>143</v>
      </c>
      <c r="H804" s="147">
        <v>44208</v>
      </c>
      <c r="I804">
        <v>7</v>
      </c>
      <c r="J804" t="s">
        <v>199</v>
      </c>
      <c r="L804">
        <v>0</v>
      </c>
      <c r="M804">
        <v>0</v>
      </c>
      <c r="U804">
        <v>778</v>
      </c>
      <c r="V804">
        <v>725</v>
      </c>
      <c r="W804">
        <v>0</v>
      </c>
      <c r="X804">
        <v>0</v>
      </c>
      <c r="Y804">
        <v>129</v>
      </c>
      <c r="Z804">
        <v>100</v>
      </c>
      <c r="AA804">
        <v>10</v>
      </c>
      <c r="AB804">
        <v>5</v>
      </c>
      <c r="AC804">
        <v>39</v>
      </c>
      <c r="AD804">
        <v>29</v>
      </c>
      <c r="AG804" t="s">
        <v>1</v>
      </c>
      <c r="AH804" t="s">
        <v>435</v>
      </c>
      <c r="AI804">
        <v>332</v>
      </c>
      <c r="AJ804">
        <v>127</v>
      </c>
      <c r="AK804">
        <v>84</v>
      </c>
      <c r="AL804">
        <v>17</v>
      </c>
      <c r="AM804">
        <v>0</v>
      </c>
      <c r="AN804" t="s">
        <v>49</v>
      </c>
      <c r="AO804">
        <v>0.93187660668380468</v>
      </c>
      <c r="AP804">
        <v>185</v>
      </c>
    </row>
    <row r="805" spans="1:42" x14ac:dyDescent="0.35">
      <c r="A805">
        <v>97211</v>
      </c>
      <c r="B805">
        <v>8619</v>
      </c>
      <c r="C805">
        <v>950240</v>
      </c>
      <c r="D805">
        <v>425</v>
      </c>
      <c r="E805" s="147">
        <v>44207</v>
      </c>
      <c r="F805" t="s">
        <v>607</v>
      </c>
      <c r="G805" t="s">
        <v>70</v>
      </c>
      <c r="H805" s="147">
        <v>44208</v>
      </c>
      <c r="I805">
        <v>7</v>
      </c>
      <c r="J805" t="s">
        <v>199</v>
      </c>
      <c r="L805">
        <v>0</v>
      </c>
      <c r="M805">
        <v>0</v>
      </c>
      <c r="U805">
        <v>213</v>
      </c>
      <c r="V805">
        <v>171</v>
      </c>
      <c r="W805">
        <v>0</v>
      </c>
      <c r="X805">
        <v>0</v>
      </c>
      <c r="Y805">
        <v>0</v>
      </c>
      <c r="Z805">
        <v>0</v>
      </c>
      <c r="AA805">
        <v>28</v>
      </c>
      <c r="AB805">
        <v>23</v>
      </c>
      <c r="AC805">
        <v>21</v>
      </c>
      <c r="AD805">
        <v>14</v>
      </c>
      <c r="AG805" t="s">
        <v>226</v>
      </c>
      <c r="AH805" t="s">
        <v>435</v>
      </c>
      <c r="AI805">
        <v>6</v>
      </c>
      <c r="AJ805">
        <v>6</v>
      </c>
      <c r="AK805">
        <v>28</v>
      </c>
      <c r="AL805">
        <v>7</v>
      </c>
      <c r="AM805">
        <v>0</v>
      </c>
      <c r="AN805" t="s">
        <v>49</v>
      </c>
      <c r="AO805">
        <v>0.80281690140845074</v>
      </c>
      <c r="AP805">
        <v>6</v>
      </c>
    </row>
    <row r="806" spans="1:42" x14ac:dyDescent="0.35">
      <c r="A806">
        <v>97241</v>
      </c>
      <c r="B806">
        <v>8619</v>
      </c>
      <c r="C806">
        <v>950270</v>
      </c>
      <c r="D806">
        <v>436</v>
      </c>
      <c r="E806" s="147">
        <v>44207</v>
      </c>
      <c r="F806" t="s">
        <v>610</v>
      </c>
      <c r="G806" t="s">
        <v>108</v>
      </c>
      <c r="H806" s="147">
        <v>44208</v>
      </c>
      <c r="I806">
        <v>7</v>
      </c>
      <c r="J806" t="s">
        <v>199</v>
      </c>
      <c r="L806">
        <v>0</v>
      </c>
      <c r="M806">
        <v>0</v>
      </c>
      <c r="U806">
        <v>1648</v>
      </c>
      <c r="V806">
        <v>1567</v>
      </c>
      <c r="W806">
        <v>0</v>
      </c>
      <c r="X806">
        <v>0</v>
      </c>
      <c r="Y806">
        <v>75</v>
      </c>
      <c r="Z806">
        <v>75</v>
      </c>
      <c r="AA806">
        <v>16</v>
      </c>
      <c r="AB806">
        <v>6</v>
      </c>
      <c r="AC806">
        <v>15</v>
      </c>
      <c r="AD806">
        <v>13</v>
      </c>
      <c r="AG806" t="s">
        <v>258</v>
      </c>
      <c r="AH806" t="s">
        <v>435</v>
      </c>
      <c r="AI806">
        <v>857</v>
      </c>
      <c r="AJ806">
        <v>357</v>
      </c>
      <c r="AK806">
        <v>157</v>
      </c>
      <c r="AL806">
        <v>4</v>
      </c>
      <c r="AM806">
        <v>0</v>
      </c>
      <c r="AN806" t="s">
        <v>49</v>
      </c>
      <c r="AO806">
        <v>0.95084951456310685</v>
      </c>
      <c r="AP806">
        <v>506</v>
      </c>
    </row>
    <row r="807" spans="1:42" x14ac:dyDescent="0.35">
      <c r="A807">
        <v>97247</v>
      </c>
      <c r="B807">
        <v>8619</v>
      </c>
      <c r="C807">
        <v>950276</v>
      </c>
      <c r="D807">
        <v>335</v>
      </c>
      <c r="E807" s="147">
        <v>44207</v>
      </c>
      <c r="F807" t="s">
        <v>611</v>
      </c>
      <c r="G807" t="s">
        <v>136</v>
      </c>
      <c r="H807" s="147">
        <v>44208</v>
      </c>
      <c r="I807">
        <v>7</v>
      </c>
      <c r="J807" t="s">
        <v>199</v>
      </c>
      <c r="L807">
        <v>0</v>
      </c>
      <c r="M807">
        <v>0</v>
      </c>
      <c r="U807">
        <v>140</v>
      </c>
      <c r="V807">
        <v>87</v>
      </c>
      <c r="W807">
        <v>0</v>
      </c>
      <c r="X807">
        <v>0</v>
      </c>
      <c r="Y807">
        <v>0</v>
      </c>
      <c r="Z807">
        <v>0</v>
      </c>
      <c r="AA807">
        <v>8</v>
      </c>
      <c r="AB807">
        <v>2</v>
      </c>
      <c r="AC807">
        <v>2</v>
      </c>
      <c r="AD807">
        <v>1</v>
      </c>
      <c r="AG807" t="s">
        <v>258</v>
      </c>
      <c r="AH807" t="s">
        <v>435</v>
      </c>
      <c r="AI807">
        <v>0</v>
      </c>
      <c r="AJ807">
        <v>0</v>
      </c>
      <c r="AK807">
        <v>7</v>
      </c>
      <c r="AL807">
        <v>0</v>
      </c>
      <c r="AM807">
        <v>0</v>
      </c>
      <c r="AN807" t="s">
        <v>49</v>
      </c>
      <c r="AO807">
        <v>0.62142857142857144</v>
      </c>
      <c r="AP807">
        <v>0</v>
      </c>
    </row>
    <row r="808" spans="1:42" x14ac:dyDescent="0.35">
      <c r="A808">
        <v>97251</v>
      </c>
      <c r="B808">
        <v>8619</v>
      </c>
      <c r="C808">
        <v>950280</v>
      </c>
      <c r="D808">
        <v>450</v>
      </c>
      <c r="E808" s="147">
        <v>44207</v>
      </c>
      <c r="F808" t="s">
        <v>612</v>
      </c>
      <c r="G808" t="s">
        <v>150</v>
      </c>
      <c r="H808" s="147">
        <v>44208</v>
      </c>
      <c r="I808">
        <v>7</v>
      </c>
      <c r="J808" t="s">
        <v>199</v>
      </c>
      <c r="L808">
        <v>0</v>
      </c>
      <c r="M808">
        <v>0</v>
      </c>
      <c r="U808">
        <v>1275</v>
      </c>
      <c r="V808">
        <v>1052</v>
      </c>
      <c r="W808">
        <v>0</v>
      </c>
      <c r="X808">
        <v>0</v>
      </c>
      <c r="Y808">
        <v>93</v>
      </c>
      <c r="Z808">
        <v>67</v>
      </c>
      <c r="AA808">
        <v>29</v>
      </c>
      <c r="AB808">
        <v>21</v>
      </c>
      <c r="AC808">
        <v>12</v>
      </c>
      <c r="AD808">
        <v>8</v>
      </c>
      <c r="AG808" t="s">
        <v>258</v>
      </c>
      <c r="AH808" t="s">
        <v>435</v>
      </c>
      <c r="AI808">
        <v>505</v>
      </c>
      <c r="AJ808">
        <v>193</v>
      </c>
      <c r="AK808">
        <v>103</v>
      </c>
      <c r="AL808">
        <v>5</v>
      </c>
      <c r="AM808">
        <v>0</v>
      </c>
      <c r="AN808" t="s">
        <v>49</v>
      </c>
      <c r="AO808">
        <v>0.82509803921568625</v>
      </c>
      <c r="AP808">
        <v>312</v>
      </c>
    </row>
    <row r="809" spans="1:42" x14ac:dyDescent="0.35">
      <c r="A809">
        <v>97254</v>
      </c>
      <c r="B809">
        <v>8619</v>
      </c>
      <c r="C809">
        <v>950283</v>
      </c>
      <c r="D809">
        <v>324</v>
      </c>
      <c r="E809" s="147">
        <v>44207</v>
      </c>
      <c r="F809" t="s">
        <v>613</v>
      </c>
      <c r="G809" t="s">
        <v>65</v>
      </c>
      <c r="H809" s="147">
        <v>44208</v>
      </c>
      <c r="I809">
        <v>7</v>
      </c>
      <c r="J809" t="s">
        <v>199</v>
      </c>
      <c r="L809">
        <v>0</v>
      </c>
      <c r="M809">
        <v>0</v>
      </c>
      <c r="U809">
        <v>186</v>
      </c>
      <c r="V809">
        <v>115</v>
      </c>
      <c r="W809">
        <v>0</v>
      </c>
      <c r="X809">
        <v>0</v>
      </c>
      <c r="Y809">
        <v>0</v>
      </c>
      <c r="Z809">
        <v>0</v>
      </c>
      <c r="AA809">
        <v>21</v>
      </c>
      <c r="AB809">
        <v>10</v>
      </c>
      <c r="AC809">
        <v>0</v>
      </c>
      <c r="AD809">
        <v>0</v>
      </c>
      <c r="AG809" t="s">
        <v>255</v>
      </c>
      <c r="AH809" t="s">
        <v>435</v>
      </c>
      <c r="AI809">
        <v>2</v>
      </c>
      <c r="AJ809">
        <v>3</v>
      </c>
      <c r="AK809">
        <v>6</v>
      </c>
      <c r="AL809">
        <v>0</v>
      </c>
      <c r="AM809">
        <v>0</v>
      </c>
      <c r="AN809" t="s">
        <v>49</v>
      </c>
      <c r="AO809">
        <v>0.61827956989247312</v>
      </c>
      <c r="AP809">
        <v>2</v>
      </c>
    </row>
    <row r="810" spans="1:42" x14ac:dyDescent="0.35">
      <c r="A810">
        <v>97285</v>
      </c>
      <c r="B810">
        <v>8619</v>
      </c>
      <c r="C810">
        <v>950314</v>
      </c>
      <c r="D810">
        <v>454</v>
      </c>
      <c r="E810" s="147">
        <v>44207</v>
      </c>
      <c r="F810" t="s">
        <v>602</v>
      </c>
      <c r="G810" t="s">
        <v>126</v>
      </c>
      <c r="H810" s="147">
        <v>44208</v>
      </c>
      <c r="I810">
        <v>7</v>
      </c>
      <c r="J810" t="s">
        <v>199</v>
      </c>
      <c r="L810">
        <v>0</v>
      </c>
      <c r="M810">
        <v>0</v>
      </c>
      <c r="U810">
        <v>924</v>
      </c>
      <c r="V810">
        <v>817</v>
      </c>
      <c r="W810">
        <v>0</v>
      </c>
      <c r="X810">
        <v>0</v>
      </c>
      <c r="Y810">
        <v>67</v>
      </c>
      <c r="Z810">
        <v>64</v>
      </c>
      <c r="AA810">
        <v>12</v>
      </c>
      <c r="AB810">
        <v>8</v>
      </c>
      <c r="AC810">
        <v>32</v>
      </c>
      <c r="AD810">
        <v>32</v>
      </c>
      <c r="AG810" t="s">
        <v>223</v>
      </c>
      <c r="AH810" t="s">
        <v>435</v>
      </c>
      <c r="AI810">
        <v>325</v>
      </c>
      <c r="AJ810">
        <v>94</v>
      </c>
      <c r="AK810">
        <v>107</v>
      </c>
      <c r="AL810">
        <v>0</v>
      </c>
      <c r="AM810">
        <v>0</v>
      </c>
      <c r="AN810" t="s">
        <v>49</v>
      </c>
      <c r="AO810">
        <v>0.88419913419913421</v>
      </c>
      <c r="AP810">
        <v>159</v>
      </c>
    </row>
    <row r="811" spans="1:42" x14ac:dyDescent="0.35">
      <c r="A811">
        <v>97308</v>
      </c>
      <c r="B811">
        <v>8619</v>
      </c>
      <c r="C811">
        <v>950337</v>
      </c>
      <c r="D811">
        <v>364</v>
      </c>
      <c r="E811" s="147">
        <v>44207</v>
      </c>
      <c r="F811" t="s">
        <v>599</v>
      </c>
      <c r="G811" t="s">
        <v>77</v>
      </c>
      <c r="H811" s="147">
        <v>44209</v>
      </c>
      <c r="I811">
        <v>7</v>
      </c>
      <c r="J811" t="s">
        <v>200</v>
      </c>
      <c r="L811">
        <v>0</v>
      </c>
      <c r="M811">
        <v>0</v>
      </c>
      <c r="U811">
        <v>861</v>
      </c>
      <c r="V811">
        <v>787</v>
      </c>
      <c r="W811">
        <v>0</v>
      </c>
      <c r="X811">
        <v>0</v>
      </c>
      <c r="Y811">
        <v>102</v>
      </c>
      <c r="Z811">
        <v>89</v>
      </c>
      <c r="AA811">
        <v>9</v>
      </c>
      <c r="AB811">
        <v>3</v>
      </c>
      <c r="AC811">
        <v>48</v>
      </c>
      <c r="AD811">
        <v>33</v>
      </c>
      <c r="AG811" t="s">
        <v>291</v>
      </c>
      <c r="AH811" t="s">
        <v>435</v>
      </c>
      <c r="AI811">
        <v>383</v>
      </c>
      <c r="AJ811">
        <v>157</v>
      </c>
      <c r="AK811">
        <v>71</v>
      </c>
      <c r="AL811">
        <v>9</v>
      </c>
      <c r="AM811">
        <v>0</v>
      </c>
      <c r="AN811" t="s">
        <v>49</v>
      </c>
      <c r="AO811">
        <v>0.91405342624854824</v>
      </c>
      <c r="AP811">
        <v>233</v>
      </c>
    </row>
    <row r="812" spans="1:42" x14ac:dyDescent="0.35">
      <c r="A812">
        <v>97322</v>
      </c>
      <c r="B812">
        <v>8619</v>
      </c>
      <c r="C812">
        <v>950351</v>
      </c>
      <c r="D812">
        <v>429</v>
      </c>
      <c r="E812" s="147">
        <v>44207</v>
      </c>
      <c r="F812" t="s">
        <v>608</v>
      </c>
      <c r="G812" t="s">
        <v>78</v>
      </c>
      <c r="H812" s="147">
        <v>44209</v>
      </c>
      <c r="I812">
        <v>7</v>
      </c>
      <c r="J812" t="s">
        <v>200</v>
      </c>
      <c r="L812">
        <v>0</v>
      </c>
      <c r="M812">
        <v>0</v>
      </c>
      <c r="U812">
        <v>683</v>
      </c>
      <c r="V812">
        <v>651</v>
      </c>
      <c r="W812">
        <v>0</v>
      </c>
      <c r="X812">
        <v>0</v>
      </c>
      <c r="Y812">
        <v>56</v>
      </c>
      <c r="Z812">
        <v>55</v>
      </c>
      <c r="AA812">
        <v>10</v>
      </c>
      <c r="AB812">
        <v>5</v>
      </c>
      <c r="AC812">
        <v>50</v>
      </c>
      <c r="AD812">
        <v>36</v>
      </c>
      <c r="AG812" t="s">
        <v>1</v>
      </c>
      <c r="AH812" t="s">
        <v>435</v>
      </c>
      <c r="AI812">
        <v>280</v>
      </c>
      <c r="AJ812">
        <v>79</v>
      </c>
      <c r="AK812">
        <v>100</v>
      </c>
      <c r="AL812">
        <v>9</v>
      </c>
      <c r="AM812">
        <v>0</v>
      </c>
      <c r="AN812" t="s">
        <v>49</v>
      </c>
      <c r="AO812">
        <v>0.95314787701317716</v>
      </c>
      <c r="AP812">
        <v>144</v>
      </c>
    </row>
    <row r="813" spans="1:42" x14ac:dyDescent="0.35">
      <c r="A813">
        <v>97325</v>
      </c>
      <c r="B813">
        <v>8619</v>
      </c>
      <c r="C813">
        <v>950354</v>
      </c>
      <c r="D813">
        <v>373</v>
      </c>
      <c r="E813" s="147">
        <v>44207</v>
      </c>
      <c r="F813" t="s">
        <v>609</v>
      </c>
      <c r="G813" t="s">
        <v>97</v>
      </c>
      <c r="H813" s="147">
        <v>44209</v>
      </c>
      <c r="I813">
        <v>7</v>
      </c>
      <c r="J813" t="s">
        <v>200</v>
      </c>
      <c r="L813">
        <v>0</v>
      </c>
      <c r="M813">
        <v>0</v>
      </c>
      <c r="U813">
        <v>905</v>
      </c>
      <c r="V813">
        <v>781</v>
      </c>
      <c r="W813">
        <v>0</v>
      </c>
      <c r="X813">
        <v>0</v>
      </c>
      <c r="Y813">
        <v>190</v>
      </c>
      <c r="Z813">
        <v>170</v>
      </c>
      <c r="AA813">
        <v>20</v>
      </c>
      <c r="AB813">
        <v>13</v>
      </c>
      <c r="AC813">
        <v>20</v>
      </c>
      <c r="AD813">
        <v>15</v>
      </c>
      <c r="AG813" t="s">
        <v>1</v>
      </c>
      <c r="AH813" t="s">
        <v>435</v>
      </c>
      <c r="AI813">
        <v>242</v>
      </c>
      <c r="AJ813">
        <v>108</v>
      </c>
      <c r="AK813">
        <v>84</v>
      </c>
      <c r="AL813">
        <v>1</v>
      </c>
      <c r="AM813">
        <v>0</v>
      </c>
      <c r="AN813" t="s">
        <v>49</v>
      </c>
      <c r="AO813">
        <v>0.86298342541436468</v>
      </c>
      <c r="AP813">
        <v>151</v>
      </c>
    </row>
    <row r="814" spans="1:42" x14ac:dyDescent="0.35">
      <c r="A814">
        <v>97327</v>
      </c>
      <c r="B814">
        <v>8619</v>
      </c>
      <c r="C814">
        <v>950356</v>
      </c>
      <c r="D814">
        <v>535</v>
      </c>
      <c r="E814" s="147">
        <v>44207</v>
      </c>
      <c r="F814" t="s">
        <v>552</v>
      </c>
      <c r="G814" t="s">
        <v>101</v>
      </c>
      <c r="H814" s="147">
        <v>44209</v>
      </c>
      <c r="I814">
        <v>7</v>
      </c>
      <c r="J814" t="s">
        <v>200</v>
      </c>
      <c r="L814">
        <v>0</v>
      </c>
      <c r="M814">
        <v>0</v>
      </c>
      <c r="U814">
        <v>1040</v>
      </c>
      <c r="V814">
        <v>775</v>
      </c>
      <c r="W814">
        <v>0</v>
      </c>
      <c r="X814">
        <v>0</v>
      </c>
      <c r="Y814">
        <v>123</v>
      </c>
      <c r="Z814">
        <v>121</v>
      </c>
      <c r="AA814">
        <v>4</v>
      </c>
      <c r="AB814">
        <v>2</v>
      </c>
      <c r="AC814">
        <v>46</v>
      </c>
      <c r="AD814">
        <v>28</v>
      </c>
      <c r="AG814" t="s">
        <v>1</v>
      </c>
      <c r="AH814" t="s">
        <v>435</v>
      </c>
      <c r="AI814">
        <v>449</v>
      </c>
      <c r="AJ814">
        <v>153</v>
      </c>
      <c r="AK814">
        <v>137</v>
      </c>
      <c r="AL814">
        <v>9</v>
      </c>
      <c r="AM814">
        <v>0</v>
      </c>
      <c r="AN814" t="s">
        <v>49</v>
      </c>
      <c r="AO814">
        <v>0.74519230769230771</v>
      </c>
      <c r="AP814">
        <v>224</v>
      </c>
    </row>
    <row r="815" spans="1:42" x14ac:dyDescent="0.35">
      <c r="A815">
        <v>97328</v>
      </c>
      <c r="B815">
        <v>8619</v>
      </c>
      <c r="C815">
        <v>950357</v>
      </c>
      <c r="D815">
        <v>386</v>
      </c>
      <c r="E815" s="147">
        <v>44207</v>
      </c>
      <c r="F815" t="s">
        <v>604</v>
      </c>
      <c r="G815" t="s">
        <v>105</v>
      </c>
      <c r="H815" s="147">
        <v>44209</v>
      </c>
      <c r="I815">
        <v>7</v>
      </c>
      <c r="J815" t="s">
        <v>200</v>
      </c>
      <c r="L815">
        <v>0</v>
      </c>
      <c r="M815">
        <v>0</v>
      </c>
      <c r="U815">
        <v>1247</v>
      </c>
      <c r="V815">
        <v>1156</v>
      </c>
      <c r="W815">
        <v>0</v>
      </c>
      <c r="X815">
        <v>0</v>
      </c>
      <c r="Y815">
        <v>181</v>
      </c>
      <c r="Z815">
        <v>172</v>
      </c>
      <c r="AA815">
        <v>16</v>
      </c>
      <c r="AB815">
        <v>14</v>
      </c>
      <c r="AC815">
        <v>46</v>
      </c>
      <c r="AD815">
        <v>43</v>
      </c>
      <c r="AG815" t="s">
        <v>1</v>
      </c>
      <c r="AH815" t="s">
        <v>435</v>
      </c>
      <c r="AI815">
        <v>476</v>
      </c>
      <c r="AJ815">
        <v>192</v>
      </c>
      <c r="AK815">
        <v>164</v>
      </c>
      <c r="AL815">
        <v>1</v>
      </c>
      <c r="AM815">
        <v>0</v>
      </c>
      <c r="AN815" t="s">
        <v>49</v>
      </c>
      <c r="AO815">
        <v>0.9270248596631917</v>
      </c>
      <c r="AP815">
        <v>279</v>
      </c>
    </row>
    <row r="816" spans="1:42" x14ac:dyDescent="0.35">
      <c r="A816">
        <v>97334</v>
      </c>
      <c r="B816">
        <v>8619</v>
      </c>
      <c r="C816">
        <v>950363</v>
      </c>
      <c r="D816">
        <v>376</v>
      </c>
      <c r="E816" s="147">
        <v>44207</v>
      </c>
      <c r="F816" t="s">
        <v>600</v>
      </c>
      <c r="G816" t="s">
        <v>143</v>
      </c>
      <c r="H816" s="147">
        <v>44209</v>
      </c>
      <c r="I816">
        <v>7</v>
      </c>
      <c r="J816" t="s">
        <v>200</v>
      </c>
      <c r="L816">
        <v>0</v>
      </c>
      <c r="M816">
        <v>0</v>
      </c>
      <c r="U816">
        <v>787</v>
      </c>
      <c r="V816">
        <v>722</v>
      </c>
      <c r="W816">
        <v>0</v>
      </c>
      <c r="X816">
        <v>0</v>
      </c>
      <c r="Y816">
        <v>125</v>
      </c>
      <c r="Z816">
        <v>106</v>
      </c>
      <c r="AA816">
        <v>10</v>
      </c>
      <c r="AB816">
        <v>5</v>
      </c>
      <c r="AC816">
        <v>39</v>
      </c>
      <c r="AD816">
        <v>30</v>
      </c>
      <c r="AG816" t="s">
        <v>1</v>
      </c>
      <c r="AH816" t="s">
        <v>435</v>
      </c>
      <c r="AI816">
        <v>322</v>
      </c>
      <c r="AJ816">
        <v>119</v>
      </c>
      <c r="AK816">
        <v>78</v>
      </c>
      <c r="AL816">
        <v>0</v>
      </c>
      <c r="AM816">
        <v>0</v>
      </c>
      <c r="AN816" t="s">
        <v>49</v>
      </c>
      <c r="AO816">
        <v>0.91740787801778911</v>
      </c>
      <c r="AP816">
        <v>182</v>
      </c>
    </row>
    <row r="817" spans="1:42" x14ac:dyDescent="0.35">
      <c r="A817">
        <v>97338</v>
      </c>
      <c r="B817">
        <v>8619</v>
      </c>
      <c r="C817">
        <v>950367</v>
      </c>
      <c r="D817">
        <v>425</v>
      </c>
      <c r="E817" s="147">
        <v>44207</v>
      </c>
      <c r="F817" t="s">
        <v>607</v>
      </c>
      <c r="G817" t="s">
        <v>70</v>
      </c>
      <c r="H817" s="147">
        <v>44209</v>
      </c>
      <c r="I817">
        <v>7</v>
      </c>
      <c r="J817" t="s">
        <v>200</v>
      </c>
      <c r="L817">
        <v>0</v>
      </c>
      <c r="M817">
        <v>0</v>
      </c>
      <c r="U817">
        <v>219</v>
      </c>
      <c r="V817">
        <v>168</v>
      </c>
      <c r="W817">
        <v>0</v>
      </c>
      <c r="X817">
        <v>0</v>
      </c>
      <c r="Y817">
        <v>0</v>
      </c>
      <c r="Z817">
        <v>0</v>
      </c>
      <c r="AA817">
        <v>25</v>
      </c>
      <c r="AB817">
        <v>23</v>
      </c>
      <c r="AC817">
        <v>21</v>
      </c>
      <c r="AD817">
        <v>11</v>
      </c>
      <c r="AG817" t="s">
        <v>226</v>
      </c>
      <c r="AH817" t="s">
        <v>435</v>
      </c>
      <c r="AI817">
        <v>8</v>
      </c>
      <c r="AJ817">
        <v>6</v>
      </c>
      <c r="AK817">
        <v>26</v>
      </c>
      <c r="AL817">
        <v>5</v>
      </c>
      <c r="AM817">
        <v>0</v>
      </c>
      <c r="AN817" t="s">
        <v>49</v>
      </c>
      <c r="AO817">
        <v>0.76712328767123283</v>
      </c>
      <c r="AP817">
        <v>6</v>
      </c>
    </row>
    <row r="818" spans="1:42" x14ac:dyDescent="0.35">
      <c r="A818">
        <v>97368</v>
      </c>
      <c r="B818">
        <v>8619</v>
      </c>
      <c r="C818">
        <v>950397</v>
      </c>
      <c r="D818">
        <v>436</v>
      </c>
      <c r="E818" s="147">
        <v>44207</v>
      </c>
      <c r="F818" t="s">
        <v>610</v>
      </c>
      <c r="G818" t="s">
        <v>108</v>
      </c>
      <c r="H818" s="147">
        <v>44209</v>
      </c>
      <c r="I818">
        <v>7</v>
      </c>
      <c r="J818" t="s">
        <v>200</v>
      </c>
      <c r="L818">
        <v>0</v>
      </c>
      <c r="M818">
        <v>0</v>
      </c>
      <c r="U818">
        <v>1673</v>
      </c>
      <c r="V818">
        <v>1542</v>
      </c>
      <c r="W818">
        <v>0</v>
      </c>
      <c r="X818">
        <v>0</v>
      </c>
      <c r="Y818">
        <v>67</v>
      </c>
      <c r="Z818">
        <v>62</v>
      </c>
      <c r="AA818">
        <v>16</v>
      </c>
      <c r="AB818">
        <v>8</v>
      </c>
      <c r="AC818">
        <v>13</v>
      </c>
      <c r="AD818">
        <v>13</v>
      </c>
      <c r="AG818" t="s">
        <v>258</v>
      </c>
      <c r="AH818" t="s">
        <v>435</v>
      </c>
      <c r="AI818">
        <v>840</v>
      </c>
      <c r="AJ818">
        <v>342</v>
      </c>
      <c r="AK818">
        <v>157</v>
      </c>
      <c r="AL818">
        <v>2</v>
      </c>
      <c r="AM818">
        <v>0</v>
      </c>
      <c r="AN818" t="s">
        <v>49</v>
      </c>
      <c r="AO818">
        <v>0.92169754931261205</v>
      </c>
      <c r="AP818">
        <v>487</v>
      </c>
    </row>
    <row r="819" spans="1:42" x14ac:dyDescent="0.35">
      <c r="A819">
        <v>97374</v>
      </c>
      <c r="B819">
        <v>8619</v>
      </c>
      <c r="C819">
        <v>950403</v>
      </c>
      <c r="D819">
        <v>335</v>
      </c>
      <c r="E819" s="147">
        <v>44207</v>
      </c>
      <c r="F819" t="s">
        <v>611</v>
      </c>
      <c r="G819" t="s">
        <v>136</v>
      </c>
      <c r="H819" s="147">
        <v>44209</v>
      </c>
      <c r="I819">
        <v>7</v>
      </c>
      <c r="J819" t="s">
        <v>200</v>
      </c>
      <c r="L819">
        <v>0</v>
      </c>
      <c r="M819">
        <v>0</v>
      </c>
      <c r="U819">
        <v>149</v>
      </c>
      <c r="V819">
        <v>98</v>
      </c>
      <c r="W819">
        <v>0</v>
      </c>
      <c r="X819">
        <v>0</v>
      </c>
      <c r="Y819">
        <v>0</v>
      </c>
      <c r="Z819">
        <v>0</v>
      </c>
      <c r="AA819">
        <v>8</v>
      </c>
      <c r="AB819">
        <v>2</v>
      </c>
      <c r="AC819">
        <v>2</v>
      </c>
      <c r="AD819">
        <v>1</v>
      </c>
      <c r="AG819" t="s">
        <v>258</v>
      </c>
      <c r="AH819" t="s">
        <v>435</v>
      </c>
      <c r="AI819">
        <v>0</v>
      </c>
      <c r="AJ819">
        <v>0</v>
      </c>
      <c r="AK819">
        <v>4</v>
      </c>
      <c r="AL819">
        <v>0</v>
      </c>
      <c r="AM819">
        <v>0</v>
      </c>
      <c r="AN819" t="s">
        <v>49</v>
      </c>
      <c r="AO819">
        <v>0.65771812080536918</v>
      </c>
      <c r="AP819">
        <v>0</v>
      </c>
    </row>
    <row r="820" spans="1:42" x14ac:dyDescent="0.35">
      <c r="A820">
        <v>97378</v>
      </c>
      <c r="B820">
        <v>8619</v>
      </c>
      <c r="C820">
        <v>950407</v>
      </c>
      <c r="D820">
        <v>450</v>
      </c>
      <c r="E820" s="147">
        <v>44207</v>
      </c>
      <c r="F820" t="s">
        <v>612</v>
      </c>
      <c r="G820" t="s">
        <v>150</v>
      </c>
      <c r="H820" s="147">
        <v>44209</v>
      </c>
      <c r="I820">
        <v>7</v>
      </c>
      <c r="J820" t="s">
        <v>200</v>
      </c>
      <c r="L820">
        <v>0</v>
      </c>
      <c r="M820">
        <v>0</v>
      </c>
      <c r="U820">
        <v>1281</v>
      </c>
      <c r="V820">
        <v>1055</v>
      </c>
      <c r="W820">
        <v>0</v>
      </c>
      <c r="X820">
        <v>0</v>
      </c>
      <c r="Y820">
        <v>93</v>
      </c>
      <c r="Z820">
        <v>76</v>
      </c>
      <c r="AA820">
        <v>29</v>
      </c>
      <c r="AB820">
        <v>20</v>
      </c>
      <c r="AC820">
        <v>12</v>
      </c>
      <c r="AD820">
        <v>7</v>
      </c>
      <c r="AG820" t="s">
        <v>258</v>
      </c>
      <c r="AH820" t="s">
        <v>435</v>
      </c>
      <c r="AI820">
        <v>491</v>
      </c>
      <c r="AJ820">
        <v>190</v>
      </c>
      <c r="AK820">
        <v>82</v>
      </c>
      <c r="AL820">
        <v>0</v>
      </c>
      <c r="AM820">
        <v>0</v>
      </c>
      <c r="AN820" t="s">
        <v>49</v>
      </c>
      <c r="AO820">
        <v>0.82357533177205311</v>
      </c>
      <c r="AP820">
        <v>301</v>
      </c>
    </row>
    <row r="821" spans="1:42" x14ac:dyDescent="0.35">
      <c r="A821">
        <v>97381</v>
      </c>
      <c r="B821">
        <v>8619</v>
      </c>
      <c r="C821">
        <v>950410</v>
      </c>
      <c r="D821">
        <v>324</v>
      </c>
      <c r="E821" s="147">
        <v>44207</v>
      </c>
      <c r="F821" t="s">
        <v>613</v>
      </c>
      <c r="G821" t="s">
        <v>65</v>
      </c>
      <c r="H821" s="147">
        <v>44209</v>
      </c>
      <c r="I821">
        <v>7</v>
      </c>
      <c r="J821" t="s">
        <v>200</v>
      </c>
      <c r="L821">
        <v>0</v>
      </c>
      <c r="M821">
        <v>0</v>
      </c>
      <c r="U821">
        <v>186</v>
      </c>
      <c r="V821">
        <v>135</v>
      </c>
      <c r="W821">
        <v>0</v>
      </c>
      <c r="X821">
        <v>0</v>
      </c>
      <c r="Y821">
        <v>0</v>
      </c>
      <c r="Z821">
        <v>0</v>
      </c>
      <c r="AA821">
        <v>21</v>
      </c>
      <c r="AB821">
        <v>11</v>
      </c>
      <c r="AC821">
        <v>0</v>
      </c>
      <c r="AD821">
        <v>0</v>
      </c>
      <c r="AG821" t="s">
        <v>255</v>
      </c>
      <c r="AH821" t="s">
        <v>435</v>
      </c>
      <c r="AI821">
        <v>2</v>
      </c>
      <c r="AJ821">
        <v>3</v>
      </c>
      <c r="AK821">
        <v>10</v>
      </c>
      <c r="AL821">
        <v>0</v>
      </c>
      <c r="AM821">
        <v>0</v>
      </c>
      <c r="AN821" t="s">
        <v>49</v>
      </c>
      <c r="AO821">
        <v>0.72580645161290325</v>
      </c>
      <c r="AP821">
        <v>2</v>
      </c>
    </row>
    <row r="822" spans="1:42" x14ac:dyDescent="0.35">
      <c r="A822">
        <v>97449</v>
      </c>
      <c r="B822">
        <v>8619</v>
      </c>
      <c r="C822">
        <v>950478</v>
      </c>
      <c r="D822">
        <v>429</v>
      </c>
      <c r="E822" s="147">
        <v>44207</v>
      </c>
      <c r="F822" t="s">
        <v>608</v>
      </c>
      <c r="G822" t="s">
        <v>78</v>
      </c>
      <c r="H822" s="147">
        <v>44210</v>
      </c>
      <c r="I822">
        <v>7</v>
      </c>
      <c r="J822" t="s">
        <v>198</v>
      </c>
      <c r="L822">
        <v>0</v>
      </c>
      <c r="M822">
        <v>0</v>
      </c>
      <c r="U822">
        <v>674</v>
      </c>
      <c r="V822">
        <v>643</v>
      </c>
      <c r="W822">
        <v>0</v>
      </c>
      <c r="X822">
        <v>0</v>
      </c>
      <c r="Y822">
        <v>60</v>
      </c>
      <c r="Z822">
        <v>57</v>
      </c>
      <c r="AA822">
        <v>10</v>
      </c>
      <c r="AB822">
        <v>5</v>
      </c>
      <c r="AC822">
        <v>50</v>
      </c>
      <c r="AD822">
        <v>39</v>
      </c>
      <c r="AG822" t="s">
        <v>1</v>
      </c>
      <c r="AH822" t="s">
        <v>435</v>
      </c>
      <c r="AI822">
        <v>320</v>
      </c>
      <c r="AJ822">
        <v>86</v>
      </c>
      <c r="AK822">
        <v>123</v>
      </c>
      <c r="AL822">
        <v>9</v>
      </c>
      <c r="AM822">
        <v>0</v>
      </c>
      <c r="AN822" t="s">
        <v>49</v>
      </c>
      <c r="AO822">
        <v>0.95400593471810091</v>
      </c>
      <c r="AP822">
        <v>155</v>
      </c>
    </row>
    <row r="823" spans="1:42" x14ac:dyDescent="0.35">
      <c r="A823">
        <v>97452</v>
      </c>
      <c r="B823">
        <v>8619</v>
      </c>
      <c r="C823">
        <v>950481</v>
      </c>
      <c r="D823">
        <v>373</v>
      </c>
      <c r="E823" s="147">
        <v>44207</v>
      </c>
      <c r="F823" t="s">
        <v>609</v>
      </c>
      <c r="G823" t="s">
        <v>97</v>
      </c>
      <c r="H823" s="147">
        <v>44210</v>
      </c>
      <c r="I823">
        <v>7</v>
      </c>
      <c r="J823" t="s">
        <v>198</v>
      </c>
      <c r="L823">
        <v>0</v>
      </c>
      <c r="M823">
        <v>0</v>
      </c>
      <c r="U823">
        <v>902</v>
      </c>
      <c r="V823">
        <v>769</v>
      </c>
      <c r="W823">
        <v>0</v>
      </c>
      <c r="X823">
        <v>0</v>
      </c>
      <c r="Y823">
        <v>206</v>
      </c>
      <c r="Z823">
        <v>182</v>
      </c>
      <c r="AA823">
        <v>20</v>
      </c>
      <c r="AB823">
        <v>16</v>
      </c>
      <c r="AC823">
        <v>20</v>
      </c>
      <c r="AD823">
        <v>17</v>
      </c>
      <c r="AG823" t="s">
        <v>1</v>
      </c>
      <c r="AH823" t="s">
        <v>435</v>
      </c>
      <c r="AI823">
        <v>253</v>
      </c>
      <c r="AJ823">
        <v>103</v>
      </c>
      <c r="AK823">
        <v>61</v>
      </c>
      <c r="AL823">
        <v>2</v>
      </c>
      <c r="AM823">
        <v>0</v>
      </c>
      <c r="AN823" t="s">
        <v>49</v>
      </c>
      <c r="AO823">
        <v>0.85254988913525498</v>
      </c>
      <c r="AP823">
        <v>144</v>
      </c>
    </row>
    <row r="824" spans="1:42" x14ac:dyDescent="0.35">
      <c r="A824">
        <v>97454</v>
      </c>
      <c r="B824">
        <v>8619</v>
      </c>
      <c r="C824">
        <v>950483</v>
      </c>
      <c r="D824">
        <v>535</v>
      </c>
      <c r="E824" s="147">
        <v>44207</v>
      </c>
      <c r="F824" t="s">
        <v>552</v>
      </c>
      <c r="G824" t="s">
        <v>101</v>
      </c>
      <c r="H824" s="147">
        <v>44210</v>
      </c>
      <c r="I824">
        <v>7</v>
      </c>
      <c r="J824" t="s">
        <v>198</v>
      </c>
      <c r="L824">
        <v>0</v>
      </c>
      <c r="M824">
        <v>0</v>
      </c>
      <c r="U824">
        <v>991</v>
      </c>
      <c r="V824">
        <v>788</v>
      </c>
      <c r="W824">
        <v>0</v>
      </c>
      <c r="X824">
        <v>0</v>
      </c>
      <c r="Y824">
        <v>130</v>
      </c>
      <c r="Z824">
        <v>125</v>
      </c>
      <c r="AA824">
        <v>4</v>
      </c>
      <c r="AB824">
        <v>1</v>
      </c>
      <c r="AC824">
        <v>46</v>
      </c>
      <c r="AD824">
        <v>27</v>
      </c>
      <c r="AG824" t="s">
        <v>1</v>
      </c>
      <c r="AH824" t="s">
        <v>435</v>
      </c>
      <c r="AI824">
        <v>444</v>
      </c>
      <c r="AJ824">
        <v>145</v>
      </c>
      <c r="AK824">
        <v>130</v>
      </c>
      <c r="AL824">
        <v>15</v>
      </c>
      <c r="AM824">
        <v>0</v>
      </c>
      <c r="AN824" t="s">
        <v>49</v>
      </c>
      <c r="AO824">
        <v>0.79515640766902118</v>
      </c>
      <c r="AP824">
        <v>208</v>
      </c>
    </row>
    <row r="825" spans="1:42" x14ac:dyDescent="0.35">
      <c r="A825">
        <v>97455</v>
      </c>
      <c r="B825">
        <v>8619</v>
      </c>
      <c r="C825">
        <v>950484</v>
      </c>
      <c r="D825">
        <v>386</v>
      </c>
      <c r="E825" s="147">
        <v>44207</v>
      </c>
      <c r="F825" t="s">
        <v>604</v>
      </c>
      <c r="G825" t="s">
        <v>105</v>
      </c>
      <c r="H825" s="147">
        <v>44210</v>
      </c>
      <c r="I825">
        <v>7</v>
      </c>
      <c r="J825" t="s">
        <v>198</v>
      </c>
      <c r="L825">
        <v>0</v>
      </c>
      <c r="M825">
        <v>0</v>
      </c>
      <c r="U825">
        <v>1256</v>
      </c>
      <c r="V825">
        <v>1138</v>
      </c>
      <c r="W825">
        <v>0</v>
      </c>
      <c r="X825">
        <v>0</v>
      </c>
      <c r="Y825">
        <v>183</v>
      </c>
      <c r="Z825">
        <v>172</v>
      </c>
      <c r="AA825">
        <v>16</v>
      </c>
      <c r="AB825">
        <v>12</v>
      </c>
      <c r="AC825">
        <v>46</v>
      </c>
      <c r="AD825">
        <v>44</v>
      </c>
      <c r="AG825" t="s">
        <v>1</v>
      </c>
      <c r="AH825" t="s">
        <v>435</v>
      </c>
      <c r="AI825">
        <v>458</v>
      </c>
      <c r="AJ825">
        <v>186</v>
      </c>
      <c r="AK825">
        <v>165</v>
      </c>
      <c r="AL825">
        <v>1</v>
      </c>
      <c r="AM825">
        <v>0</v>
      </c>
      <c r="AN825" t="s">
        <v>49</v>
      </c>
      <c r="AO825">
        <v>0.9060509554140127</v>
      </c>
      <c r="AP825">
        <v>261</v>
      </c>
    </row>
    <row r="826" spans="1:42" x14ac:dyDescent="0.35">
      <c r="A826">
        <v>97461</v>
      </c>
      <c r="B826">
        <v>8619</v>
      </c>
      <c r="C826">
        <v>950490</v>
      </c>
      <c r="D826">
        <v>376</v>
      </c>
      <c r="E826" s="147">
        <v>44207</v>
      </c>
      <c r="F826" t="s">
        <v>600</v>
      </c>
      <c r="G826" t="s">
        <v>143</v>
      </c>
      <c r="H826" s="147">
        <v>44210</v>
      </c>
      <c r="I826">
        <v>7</v>
      </c>
      <c r="J826" t="s">
        <v>198</v>
      </c>
      <c r="L826">
        <v>0</v>
      </c>
      <c r="M826">
        <v>0</v>
      </c>
      <c r="U826">
        <v>783</v>
      </c>
      <c r="V826">
        <v>719</v>
      </c>
      <c r="W826">
        <v>0</v>
      </c>
      <c r="X826">
        <v>0</v>
      </c>
      <c r="Y826">
        <v>125</v>
      </c>
      <c r="Z826">
        <v>104</v>
      </c>
      <c r="AA826">
        <v>10</v>
      </c>
      <c r="AB826">
        <v>7</v>
      </c>
      <c r="AC826">
        <v>39</v>
      </c>
      <c r="AD826">
        <v>33</v>
      </c>
      <c r="AG826" t="s">
        <v>1</v>
      </c>
      <c r="AH826" t="s">
        <v>435</v>
      </c>
      <c r="AI826">
        <v>309</v>
      </c>
      <c r="AJ826">
        <v>110</v>
      </c>
      <c r="AK826">
        <v>93</v>
      </c>
      <c r="AL826">
        <v>1</v>
      </c>
      <c r="AM826">
        <v>0</v>
      </c>
      <c r="AN826" t="s">
        <v>49</v>
      </c>
      <c r="AO826">
        <v>0.91826309067688383</v>
      </c>
      <c r="AP826">
        <v>171</v>
      </c>
    </row>
    <row r="827" spans="1:42" x14ac:dyDescent="0.35">
      <c r="A827">
        <v>97465</v>
      </c>
      <c r="B827">
        <v>8619</v>
      </c>
      <c r="C827">
        <v>950494</v>
      </c>
      <c r="D827">
        <v>425</v>
      </c>
      <c r="E827" s="147">
        <v>44207</v>
      </c>
      <c r="F827" t="s">
        <v>607</v>
      </c>
      <c r="G827" t="s">
        <v>70</v>
      </c>
      <c r="H827" s="147">
        <v>44210</v>
      </c>
      <c r="I827">
        <v>7</v>
      </c>
      <c r="J827" t="s">
        <v>198</v>
      </c>
      <c r="L827">
        <v>0</v>
      </c>
      <c r="M827">
        <v>0</v>
      </c>
      <c r="U827">
        <v>218</v>
      </c>
      <c r="V827">
        <v>179</v>
      </c>
      <c r="W827">
        <v>0</v>
      </c>
      <c r="X827">
        <v>0</v>
      </c>
      <c r="Y827">
        <v>0</v>
      </c>
      <c r="Z827">
        <v>0</v>
      </c>
      <c r="AA827">
        <v>28</v>
      </c>
      <c r="AB827">
        <v>23</v>
      </c>
      <c r="AC827">
        <v>21</v>
      </c>
      <c r="AD827">
        <v>10</v>
      </c>
      <c r="AG827" t="s">
        <v>226</v>
      </c>
      <c r="AH827" t="s">
        <v>435</v>
      </c>
      <c r="AI827">
        <v>7</v>
      </c>
      <c r="AJ827">
        <v>6</v>
      </c>
      <c r="AK827">
        <v>29</v>
      </c>
      <c r="AL827">
        <v>3</v>
      </c>
      <c r="AM827">
        <v>0</v>
      </c>
      <c r="AN827" t="s">
        <v>49</v>
      </c>
      <c r="AO827">
        <v>0.82110091743119262</v>
      </c>
      <c r="AP827">
        <v>6</v>
      </c>
    </row>
    <row r="828" spans="1:42" x14ac:dyDescent="0.35">
      <c r="A828">
        <v>97470</v>
      </c>
      <c r="B828">
        <v>8619</v>
      </c>
      <c r="C828">
        <v>950499</v>
      </c>
      <c r="D828">
        <v>492</v>
      </c>
      <c r="E828" s="147">
        <v>44207</v>
      </c>
      <c r="F828" t="s">
        <v>605</v>
      </c>
      <c r="G828" t="s">
        <v>125</v>
      </c>
      <c r="H828" s="147">
        <v>44210</v>
      </c>
      <c r="I828">
        <v>7</v>
      </c>
      <c r="J828" t="s">
        <v>198</v>
      </c>
      <c r="L828">
        <v>0</v>
      </c>
      <c r="M828">
        <v>0</v>
      </c>
      <c r="U828">
        <v>1492</v>
      </c>
      <c r="V828">
        <v>1292</v>
      </c>
      <c r="W828">
        <v>0</v>
      </c>
      <c r="X828">
        <v>0</v>
      </c>
      <c r="Y828">
        <v>92</v>
      </c>
      <c r="Z828">
        <v>82</v>
      </c>
      <c r="AA828">
        <v>14</v>
      </c>
      <c r="AB828">
        <v>11</v>
      </c>
      <c r="AC828">
        <v>44</v>
      </c>
      <c r="AD828">
        <v>34</v>
      </c>
      <c r="AG828" t="s">
        <v>226</v>
      </c>
      <c r="AH828" t="s">
        <v>435</v>
      </c>
      <c r="AI828">
        <v>690</v>
      </c>
      <c r="AJ828">
        <v>232</v>
      </c>
      <c r="AK828">
        <v>143</v>
      </c>
      <c r="AL828">
        <v>6</v>
      </c>
      <c r="AM828">
        <v>0</v>
      </c>
      <c r="AN828" t="s">
        <v>49</v>
      </c>
      <c r="AO828">
        <v>0.86595174262734587</v>
      </c>
      <c r="AP828">
        <v>388</v>
      </c>
    </row>
    <row r="829" spans="1:42" x14ac:dyDescent="0.35">
      <c r="A829">
        <v>97495</v>
      </c>
      <c r="B829">
        <v>8619</v>
      </c>
      <c r="C829">
        <v>950524</v>
      </c>
      <c r="D829">
        <v>436</v>
      </c>
      <c r="E829" s="147">
        <v>44207</v>
      </c>
      <c r="F829" t="s">
        <v>610</v>
      </c>
      <c r="G829" t="s">
        <v>108</v>
      </c>
      <c r="H829" s="147">
        <v>44210</v>
      </c>
      <c r="I829">
        <v>7</v>
      </c>
      <c r="J829" t="s">
        <v>198</v>
      </c>
      <c r="L829">
        <v>0</v>
      </c>
      <c r="M829">
        <v>0</v>
      </c>
      <c r="U829">
        <v>1708</v>
      </c>
      <c r="V829">
        <v>1534</v>
      </c>
      <c r="W829">
        <v>0</v>
      </c>
      <c r="X829">
        <v>0</v>
      </c>
      <c r="Y829">
        <v>74</v>
      </c>
      <c r="Z829">
        <v>74</v>
      </c>
      <c r="AA829">
        <v>16</v>
      </c>
      <c r="AB829">
        <v>11</v>
      </c>
      <c r="AC829">
        <v>24</v>
      </c>
      <c r="AD829">
        <v>15</v>
      </c>
      <c r="AG829" t="s">
        <v>258</v>
      </c>
      <c r="AH829" t="s">
        <v>435</v>
      </c>
      <c r="AI829">
        <v>858</v>
      </c>
      <c r="AJ829">
        <v>346</v>
      </c>
      <c r="AK829">
        <v>159</v>
      </c>
      <c r="AL829">
        <v>1</v>
      </c>
      <c r="AM829">
        <v>0</v>
      </c>
      <c r="AN829" t="s">
        <v>49</v>
      </c>
      <c r="AO829">
        <v>0.89812646370023419</v>
      </c>
      <c r="AP829">
        <v>481</v>
      </c>
    </row>
    <row r="830" spans="1:42" x14ac:dyDescent="0.35">
      <c r="A830">
        <v>97501</v>
      </c>
      <c r="B830">
        <v>8619</v>
      </c>
      <c r="C830">
        <v>950530</v>
      </c>
      <c r="D830">
        <v>335</v>
      </c>
      <c r="E830" s="147">
        <v>44207</v>
      </c>
      <c r="F830" t="s">
        <v>611</v>
      </c>
      <c r="G830" t="s">
        <v>136</v>
      </c>
      <c r="H830" s="147">
        <v>44210</v>
      </c>
      <c r="I830">
        <v>7</v>
      </c>
      <c r="J830" t="s">
        <v>198</v>
      </c>
      <c r="L830">
        <v>0</v>
      </c>
      <c r="M830">
        <v>0</v>
      </c>
      <c r="U830">
        <v>139</v>
      </c>
      <c r="V830">
        <v>103</v>
      </c>
      <c r="W830">
        <v>0</v>
      </c>
      <c r="X830">
        <v>0</v>
      </c>
      <c r="Y830">
        <v>0</v>
      </c>
      <c r="Z830">
        <v>0</v>
      </c>
      <c r="AA830">
        <v>7</v>
      </c>
      <c r="AB830">
        <v>2</v>
      </c>
      <c r="AC830">
        <v>2</v>
      </c>
      <c r="AD830">
        <v>1</v>
      </c>
      <c r="AG830" t="s">
        <v>258</v>
      </c>
      <c r="AH830" t="s">
        <v>435</v>
      </c>
      <c r="AI830">
        <v>0</v>
      </c>
      <c r="AJ830">
        <v>0</v>
      </c>
      <c r="AK830">
        <v>7</v>
      </c>
      <c r="AL830">
        <v>0</v>
      </c>
      <c r="AM830">
        <v>0</v>
      </c>
      <c r="AN830" t="s">
        <v>49</v>
      </c>
      <c r="AO830">
        <v>0.74100719424460426</v>
      </c>
      <c r="AP830">
        <v>0</v>
      </c>
    </row>
    <row r="831" spans="1:42" x14ac:dyDescent="0.35">
      <c r="A831">
        <v>97505</v>
      </c>
      <c r="B831">
        <v>8619</v>
      </c>
      <c r="C831">
        <v>950534</v>
      </c>
      <c r="D831">
        <v>450</v>
      </c>
      <c r="E831" s="147">
        <v>44207</v>
      </c>
      <c r="F831" t="s">
        <v>612</v>
      </c>
      <c r="G831" t="s">
        <v>150</v>
      </c>
      <c r="H831" s="147">
        <v>44210</v>
      </c>
      <c r="I831">
        <v>7</v>
      </c>
      <c r="J831" t="s">
        <v>198</v>
      </c>
      <c r="L831">
        <v>0</v>
      </c>
      <c r="M831">
        <v>0</v>
      </c>
      <c r="U831">
        <v>1287</v>
      </c>
      <c r="V831">
        <v>1014</v>
      </c>
      <c r="W831">
        <v>0</v>
      </c>
      <c r="X831">
        <v>0</v>
      </c>
      <c r="Y831">
        <v>93</v>
      </c>
      <c r="Z831">
        <v>89</v>
      </c>
      <c r="AA831">
        <v>29</v>
      </c>
      <c r="AB831">
        <v>20</v>
      </c>
      <c r="AC831">
        <v>12</v>
      </c>
      <c r="AD831">
        <v>6</v>
      </c>
      <c r="AG831" t="s">
        <v>258</v>
      </c>
      <c r="AH831" t="s">
        <v>435</v>
      </c>
      <c r="AI831">
        <v>501</v>
      </c>
      <c r="AJ831">
        <v>186</v>
      </c>
      <c r="AK831">
        <v>88</v>
      </c>
      <c r="AL831">
        <v>2</v>
      </c>
      <c r="AM831">
        <v>0</v>
      </c>
      <c r="AN831" t="s">
        <v>49</v>
      </c>
      <c r="AO831">
        <v>0.78787878787878785</v>
      </c>
      <c r="AP831">
        <v>315</v>
      </c>
    </row>
    <row r="832" spans="1:42" x14ac:dyDescent="0.35">
      <c r="A832">
        <v>97508</v>
      </c>
      <c r="B832">
        <v>8619</v>
      </c>
      <c r="C832">
        <v>950537</v>
      </c>
      <c r="D832">
        <v>324</v>
      </c>
      <c r="E832" s="147">
        <v>44207</v>
      </c>
      <c r="F832" t="s">
        <v>613</v>
      </c>
      <c r="G832" t="s">
        <v>65</v>
      </c>
      <c r="H832" s="147">
        <v>44210</v>
      </c>
      <c r="I832">
        <v>7</v>
      </c>
      <c r="J832" t="s">
        <v>198</v>
      </c>
      <c r="L832">
        <v>0</v>
      </c>
      <c r="M832">
        <v>0</v>
      </c>
      <c r="U832">
        <v>186</v>
      </c>
      <c r="V832">
        <v>134</v>
      </c>
      <c r="W832">
        <v>0</v>
      </c>
      <c r="X832">
        <v>0</v>
      </c>
      <c r="Y832">
        <v>0</v>
      </c>
      <c r="Z832">
        <v>0</v>
      </c>
      <c r="AA832">
        <v>21</v>
      </c>
      <c r="AB832">
        <v>13</v>
      </c>
      <c r="AC832">
        <v>0</v>
      </c>
      <c r="AD832">
        <v>0</v>
      </c>
      <c r="AG832" t="s">
        <v>255</v>
      </c>
      <c r="AH832" t="s">
        <v>435</v>
      </c>
      <c r="AI832">
        <v>2</v>
      </c>
      <c r="AJ832">
        <v>3</v>
      </c>
      <c r="AK832">
        <v>6</v>
      </c>
      <c r="AL832">
        <v>0</v>
      </c>
      <c r="AM832">
        <v>0</v>
      </c>
      <c r="AN832" t="s">
        <v>49</v>
      </c>
      <c r="AO832">
        <v>0.72043010752688175</v>
      </c>
      <c r="AP832">
        <v>2</v>
      </c>
    </row>
    <row r="833" spans="1:42" x14ac:dyDescent="0.35">
      <c r="A833">
        <v>97576</v>
      </c>
      <c r="B833">
        <v>8619</v>
      </c>
      <c r="C833">
        <v>950605</v>
      </c>
      <c r="D833">
        <v>429</v>
      </c>
      <c r="E833" s="147">
        <v>44207</v>
      </c>
      <c r="F833" t="s">
        <v>608</v>
      </c>
      <c r="G833" t="s">
        <v>78</v>
      </c>
      <c r="H833" s="147">
        <v>44211</v>
      </c>
      <c r="I833">
        <v>7</v>
      </c>
      <c r="J833" t="s">
        <v>194</v>
      </c>
      <c r="L833">
        <v>0</v>
      </c>
      <c r="M833">
        <v>0</v>
      </c>
      <c r="U833">
        <v>678</v>
      </c>
      <c r="V833">
        <v>641</v>
      </c>
      <c r="W833">
        <v>0</v>
      </c>
      <c r="X833">
        <v>0</v>
      </c>
      <c r="Y833">
        <v>59</v>
      </c>
      <c r="Z833">
        <v>55</v>
      </c>
      <c r="AA833">
        <v>10</v>
      </c>
      <c r="AB833">
        <v>3</v>
      </c>
      <c r="AC833">
        <v>50</v>
      </c>
      <c r="AD833">
        <v>39</v>
      </c>
      <c r="AG833" t="s">
        <v>1</v>
      </c>
      <c r="AH833" t="s">
        <v>435</v>
      </c>
      <c r="AI833">
        <v>293</v>
      </c>
      <c r="AJ833">
        <v>86</v>
      </c>
      <c r="AK833">
        <v>130</v>
      </c>
      <c r="AL833">
        <v>10</v>
      </c>
      <c r="AM833">
        <v>0</v>
      </c>
      <c r="AN833" t="s">
        <v>49</v>
      </c>
      <c r="AO833">
        <v>0.94542772861356927</v>
      </c>
      <c r="AP833">
        <v>141</v>
      </c>
    </row>
    <row r="834" spans="1:42" x14ac:dyDescent="0.35">
      <c r="A834">
        <v>97579</v>
      </c>
      <c r="B834">
        <v>8619</v>
      </c>
      <c r="C834">
        <v>950608</v>
      </c>
      <c r="D834">
        <v>373</v>
      </c>
      <c r="E834" s="147">
        <v>44207</v>
      </c>
      <c r="F834" t="s">
        <v>609</v>
      </c>
      <c r="G834" t="s">
        <v>97</v>
      </c>
      <c r="H834" s="147">
        <v>44211</v>
      </c>
      <c r="I834">
        <v>7</v>
      </c>
      <c r="J834" t="s">
        <v>194</v>
      </c>
      <c r="L834">
        <v>0</v>
      </c>
      <c r="M834">
        <v>0</v>
      </c>
      <c r="U834">
        <v>892</v>
      </c>
      <c r="V834">
        <v>759</v>
      </c>
      <c r="W834">
        <v>0</v>
      </c>
      <c r="X834">
        <v>0</v>
      </c>
      <c r="Y834">
        <v>212</v>
      </c>
      <c r="Z834">
        <v>183</v>
      </c>
      <c r="AA834">
        <v>20</v>
      </c>
      <c r="AB834">
        <v>15</v>
      </c>
      <c r="AC834">
        <v>20</v>
      </c>
      <c r="AD834">
        <v>13</v>
      </c>
      <c r="AG834" t="s">
        <v>1</v>
      </c>
      <c r="AH834" t="s">
        <v>435</v>
      </c>
      <c r="AI834">
        <v>249</v>
      </c>
      <c r="AJ834">
        <v>105</v>
      </c>
      <c r="AK834">
        <v>88</v>
      </c>
      <c r="AL834">
        <v>2</v>
      </c>
      <c r="AM834">
        <v>0</v>
      </c>
      <c r="AN834" t="s">
        <v>49</v>
      </c>
      <c r="AO834">
        <v>0.85089686098654704</v>
      </c>
      <c r="AP834">
        <v>151</v>
      </c>
    </row>
    <row r="835" spans="1:42" x14ac:dyDescent="0.35">
      <c r="A835">
        <v>97588</v>
      </c>
      <c r="B835">
        <v>8619</v>
      </c>
      <c r="C835">
        <v>950617</v>
      </c>
      <c r="D835">
        <v>376</v>
      </c>
      <c r="E835" s="147">
        <v>44207</v>
      </c>
      <c r="F835" t="s">
        <v>600</v>
      </c>
      <c r="G835" t="s">
        <v>143</v>
      </c>
      <c r="H835" s="147">
        <v>44211</v>
      </c>
      <c r="I835">
        <v>7</v>
      </c>
      <c r="J835" t="s">
        <v>194</v>
      </c>
      <c r="L835">
        <v>0</v>
      </c>
      <c r="M835">
        <v>0</v>
      </c>
      <c r="U835">
        <v>788</v>
      </c>
      <c r="V835">
        <v>725</v>
      </c>
      <c r="W835">
        <v>0</v>
      </c>
      <c r="X835">
        <v>0</v>
      </c>
      <c r="Y835">
        <v>125</v>
      </c>
      <c r="Z835">
        <v>113</v>
      </c>
      <c r="AA835">
        <v>10</v>
      </c>
      <c r="AB835">
        <v>7</v>
      </c>
      <c r="AC835">
        <v>39</v>
      </c>
      <c r="AD835">
        <v>32</v>
      </c>
      <c r="AG835" t="s">
        <v>1</v>
      </c>
      <c r="AH835" t="s">
        <v>435</v>
      </c>
      <c r="AI835">
        <v>291</v>
      </c>
      <c r="AJ835">
        <v>101</v>
      </c>
      <c r="AK835">
        <v>72</v>
      </c>
      <c r="AL835">
        <v>4</v>
      </c>
      <c r="AM835">
        <v>0</v>
      </c>
      <c r="AN835" t="s">
        <v>49</v>
      </c>
      <c r="AO835">
        <v>0.92005076142131981</v>
      </c>
      <c r="AP835">
        <v>158</v>
      </c>
    </row>
    <row r="836" spans="1:42" x14ac:dyDescent="0.35">
      <c r="A836">
        <v>97622</v>
      </c>
      <c r="B836">
        <v>8619</v>
      </c>
      <c r="C836">
        <v>950651</v>
      </c>
      <c r="D836">
        <v>436</v>
      </c>
      <c r="E836" s="147">
        <v>44207</v>
      </c>
      <c r="F836" t="s">
        <v>610</v>
      </c>
      <c r="G836" t="s">
        <v>108</v>
      </c>
      <c r="H836" s="147">
        <v>44211</v>
      </c>
      <c r="I836">
        <v>7</v>
      </c>
      <c r="J836" t="s">
        <v>194</v>
      </c>
      <c r="L836">
        <v>0</v>
      </c>
      <c r="M836">
        <v>0</v>
      </c>
      <c r="U836">
        <v>1674</v>
      </c>
      <c r="V836">
        <v>1589</v>
      </c>
      <c r="W836">
        <v>0</v>
      </c>
      <c r="X836">
        <v>0</v>
      </c>
      <c r="Y836">
        <v>71</v>
      </c>
      <c r="Z836">
        <v>70</v>
      </c>
      <c r="AA836">
        <v>16</v>
      </c>
      <c r="AB836">
        <v>10</v>
      </c>
      <c r="AC836">
        <v>25</v>
      </c>
      <c r="AD836">
        <v>16</v>
      </c>
      <c r="AG836" t="s">
        <v>258</v>
      </c>
      <c r="AH836" t="s">
        <v>435</v>
      </c>
      <c r="AI836">
        <v>858</v>
      </c>
      <c r="AJ836">
        <v>346</v>
      </c>
      <c r="AK836">
        <v>168</v>
      </c>
      <c r="AL836">
        <v>0</v>
      </c>
      <c r="AM836">
        <v>0</v>
      </c>
      <c r="AN836" t="s">
        <v>49</v>
      </c>
      <c r="AO836">
        <v>0.9492234169653524</v>
      </c>
      <c r="AP836">
        <v>481</v>
      </c>
    </row>
    <row r="837" spans="1:42" x14ac:dyDescent="0.35">
      <c r="A837">
        <v>97628</v>
      </c>
      <c r="B837">
        <v>8619</v>
      </c>
      <c r="C837">
        <v>950657</v>
      </c>
      <c r="D837">
        <v>335</v>
      </c>
      <c r="E837" s="147">
        <v>44207</v>
      </c>
      <c r="F837" t="s">
        <v>611</v>
      </c>
      <c r="G837" t="s">
        <v>136</v>
      </c>
      <c r="H837" s="147">
        <v>44211</v>
      </c>
      <c r="I837">
        <v>7</v>
      </c>
      <c r="J837" t="s">
        <v>194</v>
      </c>
      <c r="L837">
        <v>0</v>
      </c>
      <c r="M837">
        <v>0</v>
      </c>
      <c r="U837">
        <v>125</v>
      </c>
      <c r="V837">
        <v>99</v>
      </c>
      <c r="W837">
        <v>0</v>
      </c>
      <c r="X837">
        <v>0</v>
      </c>
      <c r="Y837">
        <v>0</v>
      </c>
      <c r="Z837">
        <v>0</v>
      </c>
      <c r="AA837">
        <v>7</v>
      </c>
      <c r="AB837">
        <v>3</v>
      </c>
      <c r="AC837">
        <v>2</v>
      </c>
      <c r="AD837">
        <v>0</v>
      </c>
      <c r="AG837" t="s">
        <v>258</v>
      </c>
      <c r="AH837" t="s">
        <v>435</v>
      </c>
      <c r="AI837">
        <v>0</v>
      </c>
      <c r="AJ837">
        <v>0</v>
      </c>
      <c r="AK837">
        <v>3</v>
      </c>
      <c r="AL837">
        <v>0</v>
      </c>
      <c r="AM837">
        <v>0</v>
      </c>
      <c r="AN837" t="s">
        <v>49</v>
      </c>
      <c r="AO837">
        <v>0.79200000000000004</v>
      </c>
      <c r="AP837">
        <v>0</v>
      </c>
    </row>
    <row r="838" spans="1:42" x14ac:dyDescent="0.35">
      <c r="A838">
        <v>97632</v>
      </c>
      <c r="B838">
        <v>8619</v>
      </c>
      <c r="C838">
        <v>950661</v>
      </c>
      <c r="D838">
        <v>450</v>
      </c>
      <c r="E838" s="147">
        <v>44207</v>
      </c>
      <c r="F838" t="s">
        <v>612</v>
      </c>
      <c r="G838" t="s">
        <v>150</v>
      </c>
      <c r="H838" s="147">
        <v>44211</v>
      </c>
      <c r="I838">
        <v>7</v>
      </c>
      <c r="J838" t="s">
        <v>194</v>
      </c>
      <c r="L838">
        <v>0</v>
      </c>
      <c r="M838">
        <v>0</v>
      </c>
      <c r="U838">
        <v>1283</v>
      </c>
      <c r="V838">
        <v>1006</v>
      </c>
      <c r="W838">
        <v>0</v>
      </c>
      <c r="X838">
        <v>0</v>
      </c>
      <c r="Y838">
        <v>93</v>
      </c>
      <c r="Z838">
        <v>75</v>
      </c>
      <c r="AA838">
        <v>29</v>
      </c>
      <c r="AB838">
        <v>22</v>
      </c>
      <c r="AC838">
        <v>12</v>
      </c>
      <c r="AD838">
        <v>5</v>
      </c>
      <c r="AG838" t="s">
        <v>258</v>
      </c>
      <c r="AH838" t="s">
        <v>435</v>
      </c>
      <c r="AI838">
        <v>487</v>
      </c>
      <c r="AJ838">
        <v>180</v>
      </c>
      <c r="AK838">
        <v>95</v>
      </c>
      <c r="AL838">
        <v>1</v>
      </c>
      <c r="AM838">
        <v>0</v>
      </c>
      <c r="AN838" t="s">
        <v>49</v>
      </c>
      <c r="AO838">
        <v>0.78409976617303201</v>
      </c>
      <c r="AP838">
        <v>307</v>
      </c>
    </row>
    <row r="839" spans="1:42" x14ac:dyDescent="0.35">
      <c r="A839">
        <v>97635</v>
      </c>
      <c r="B839">
        <v>8619</v>
      </c>
      <c r="C839">
        <v>950664</v>
      </c>
      <c r="D839">
        <v>324</v>
      </c>
      <c r="E839" s="147">
        <v>44207</v>
      </c>
      <c r="F839" t="s">
        <v>613</v>
      </c>
      <c r="G839" t="s">
        <v>65</v>
      </c>
      <c r="H839" s="147">
        <v>44211</v>
      </c>
      <c r="I839">
        <v>7</v>
      </c>
      <c r="J839" t="s">
        <v>194</v>
      </c>
      <c r="L839">
        <v>0</v>
      </c>
      <c r="M839">
        <v>0</v>
      </c>
      <c r="U839">
        <v>186</v>
      </c>
      <c r="V839">
        <v>120</v>
      </c>
      <c r="W839">
        <v>0</v>
      </c>
      <c r="X839">
        <v>0</v>
      </c>
      <c r="Y839">
        <v>0</v>
      </c>
      <c r="Z839">
        <v>0</v>
      </c>
      <c r="AA839">
        <v>21</v>
      </c>
      <c r="AB839">
        <v>13</v>
      </c>
      <c r="AC839">
        <v>0</v>
      </c>
      <c r="AD839">
        <v>0</v>
      </c>
      <c r="AG839" t="s">
        <v>255</v>
      </c>
      <c r="AH839" t="s">
        <v>435</v>
      </c>
      <c r="AI839">
        <v>2</v>
      </c>
      <c r="AJ839">
        <v>3</v>
      </c>
      <c r="AK839">
        <v>6</v>
      </c>
      <c r="AL839">
        <v>0</v>
      </c>
      <c r="AM839">
        <v>0</v>
      </c>
      <c r="AN839" t="s">
        <v>49</v>
      </c>
      <c r="AO839">
        <v>0.64516129032258063</v>
      </c>
      <c r="AP839">
        <v>2</v>
      </c>
    </row>
    <row r="840" spans="1:42" x14ac:dyDescent="0.35">
      <c r="A840">
        <v>97666</v>
      </c>
      <c r="B840">
        <v>8619</v>
      </c>
      <c r="C840">
        <v>950695</v>
      </c>
      <c r="D840">
        <v>454</v>
      </c>
      <c r="E840" s="147">
        <v>44207</v>
      </c>
      <c r="F840" t="s">
        <v>602</v>
      </c>
      <c r="G840" t="s">
        <v>126</v>
      </c>
      <c r="H840" s="147">
        <v>44211</v>
      </c>
      <c r="I840">
        <v>7</v>
      </c>
      <c r="J840" t="s">
        <v>194</v>
      </c>
      <c r="L840">
        <v>0</v>
      </c>
      <c r="M840">
        <v>0</v>
      </c>
      <c r="U840">
        <v>839</v>
      </c>
      <c r="V840">
        <v>699</v>
      </c>
      <c r="W840">
        <v>0</v>
      </c>
      <c r="X840">
        <v>0</v>
      </c>
      <c r="Y840">
        <v>90</v>
      </c>
      <c r="Z840">
        <v>74</v>
      </c>
      <c r="AA840">
        <v>14</v>
      </c>
      <c r="AB840">
        <v>7</v>
      </c>
      <c r="AC840">
        <v>30</v>
      </c>
      <c r="AD840">
        <v>30</v>
      </c>
      <c r="AG840" t="s">
        <v>223</v>
      </c>
      <c r="AH840" t="s">
        <v>435</v>
      </c>
      <c r="AI840">
        <v>315</v>
      </c>
      <c r="AJ840">
        <v>89</v>
      </c>
      <c r="AK840">
        <v>126</v>
      </c>
      <c r="AL840">
        <v>7</v>
      </c>
      <c r="AM840">
        <v>0</v>
      </c>
      <c r="AN840" t="s">
        <v>49</v>
      </c>
      <c r="AO840">
        <v>0.83313468414779501</v>
      </c>
      <c r="AP840">
        <v>154</v>
      </c>
    </row>
    <row r="841" spans="1:42" x14ac:dyDescent="0.35">
      <c r="A841">
        <v>97703</v>
      </c>
      <c r="B841">
        <v>8619</v>
      </c>
      <c r="C841">
        <v>950732</v>
      </c>
      <c r="D841">
        <v>429</v>
      </c>
      <c r="E841" s="147">
        <v>44207</v>
      </c>
      <c r="F841" t="s">
        <v>608</v>
      </c>
      <c r="G841" t="s">
        <v>78</v>
      </c>
      <c r="H841" s="147">
        <v>44212</v>
      </c>
      <c r="I841">
        <v>7</v>
      </c>
      <c r="J841" t="s">
        <v>196</v>
      </c>
      <c r="L841">
        <v>0</v>
      </c>
      <c r="M841">
        <v>0</v>
      </c>
      <c r="U841">
        <v>680</v>
      </c>
      <c r="V841">
        <v>621</v>
      </c>
      <c r="W841">
        <v>0</v>
      </c>
      <c r="X841">
        <v>0</v>
      </c>
      <c r="Y841">
        <v>57</v>
      </c>
      <c r="Z841">
        <v>51</v>
      </c>
      <c r="AA841">
        <v>10</v>
      </c>
      <c r="AB841">
        <v>3</v>
      </c>
      <c r="AC841">
        <v>50</v>
      </c>
      <c r="AD841">
        <v>39</v>
      </c>
      <c r="AG841" t="s">
        <v>1</v>
      </c>
      <c r="AH841" t="s">
        <v>435</v>
      </c>
      <c r="AI841">
        <v>325</v>
      </c>
      <c r="AJ841">
        <v>97</v>
      </c>
      <c r="AK841">
        <v>116</v>
      </c>
      <c r="AL841">
        <v>1</v>
      </c>
      <c r="AM841">
        <v>0</v>
      </c>
      <c r="AN841" t="s">
        <v>49</v>
      </c>
      <c r="AO841">
        <v>0.91323529411764703</v>
      </c>
      <c r="AP841">
        <v>156</v>
      </c>
    </row>
    <row r="842" spans="1:42" x14ac:dyDescent="0.35">
      <c r="A842">
        <v>97706</v>
      </c>
      <c r="B842">
        <v>8619</v>
      </c>
      <c r="C842">
        <v>950735</v>
      </c>
      <c r="D842">
        <v>373</v>
      </c>
      <c r="E842" s="147">
        <v>44207</v>
      </c>
      <c r="F842" t="s">
        <v>609</v>
      </c>
      <c r="G842" t="s">
        <v>97</v>
      </c>
      <c r="H842" s="147">
        <v>44212</v>
      </c>
      <c r="I842">
        <v>7</v>
      </c>
      <c r="J842" t="s">
        <v>196</v>
      </c>
      <c r="L842">
        <v>0</v>
      </c>
      <c r="M842">
        <v>0</v>
      </c>
      <c r="U842">
        <v>783</v>
      </c>
      <c r="V842">
        <v>593</v>
      </c>
      <c r="W842">
        <v>0</v>
      </c>
      <c r="X842">
        <v>0</v>
      </c>
      <c r="Y842">
        <v>212</v>
      </c>
      <c r="Z842">
        <v>193</v>
      </c>
      <c r="AA842">
        <v>20</v>
      </c>
      <c r="AB842">
        <v>14</v>
      </c>
      <c r="AC842">
        <v>20</v>
      </c>
      <c r="AD842">
        <v>14</v>
      </c>
      <c r="AG842" t="s">
        <v>1</v>
      </c>
      <c r="AH842" t="s">
        <v>435</v>
      </c>
      <c r="AI842">
        <v>240</v>
      </c>
      <c r="AJ842">
        <v>99</v>
      </c>
      <c r="AK842">
        <v>69</v>
      </c>
      <c r="AL842">
        <v>1</v>
      </c>
      <c r="AM842">
        <v>0</v>
      </c>
      <c r="AN842" t="s">
        <v>49</v>
      </c>
      <c r="AO842">
        <v>0.75734355044699875</v>
      </c>
      <c r="AP842">
        <v>144</v>
      </c>
    </row>
    <row r="843" spans="1:42" x14ac:dyDescent="0.35">
      <c r="A843">
        <v>97715</v>
      </c>
      <c r="B843">
        <v>8619</v>
      </c>
      <c r="C843">
        <v>950744</v>
      </c>
      <c r="D843">
        <v>376</v>
      </c>
      <c r="E843" s="147">
        <v>44207</v>
      </c>
      <c r="F843" t="s">
        <v>600</v>
      </c>
      <c r="G843" t="s">
        <v>143</v>
      </c>
      <c r="H843" s="147">
        <v>44212</v>
      </c>
      <c r="I843">
        <v>7</v>
      </c>
      <c r="J843" t="s">
        <v>196</v>
      </c>
      <c r="L843">
        <v>0</v>
      </c>
      <c r="M843">
        <v>0</v>
      </c>
      <c r="U843">
        <v>746</v>
      </c>
      <c r="V843">
        <v>620</v>
      </c>
      <c r="W843">
        <v>0</v>
      </c>
      <c r="X843">
        <v>0</v>
      </c>
      <c r="Y843">
        <v>125</v>
      </c>
      <c r="Z843">
        <v>109</v>
      </c>
      <c r="AA843">
        <v>10</v>
      </c>
      <c r="AB843">
        <v>7</v>
      </c>
      <c r="AC843">
        <v>39</v>
      </c>
      <c r="AD843">
        <v>33</v>
      </c>
      <c r="AG843" t="s">
        <v>1</v>
      </c>
      <c r="AH843" t="s">
        <v>435</v>
      </c>
      <c r="AI843">
        <v>283</v>
      </c>
      <c r="AJ843">
        <v>95</v>
      </c>
      <c r="AK843">
        <v>78</v>
      </c>
      <c r="AL843">
        <v>6</v>
      </c>
      <c r="AM843">
        <v>0</v>
      </c>
      <c r="AN843" t="s">
        <v>49</v>
      </c>
      <c r="AO843">
        <v>0.83109919571045576</v>
      </c>
      <c r="AP843">
        <v>152</v>
      </c>
    </row>
    <row r="844" spans="1:42" x14ac:dyDescent="0.35">
      <c r="A844">
        <v>97719</v>
      </c>
      <c r="B844">
        <v>8619</v>
      </c>
      <c r="C844">
        <v>950748</v>
      </c>
      <c r="D844">
        <v>425</v>
      </c>
      <c r="E844" s="147">
        <v>44207</v>
      </c>
      <c r="F844" t="s">
        <v>607</v>
      </c>
      <c r="G844" t="s">
        <v>70</v>
      </c>
      <c r="H844" s="147">
        <v>44212</v>
      </c>
      <c r="I844">
        <v>7</v>
      </c>
      <c r="J844" t="s">
        <v>196</v>
      </c>
      <c r="L844">
        <v>0</v>
      </c>
      <c r="M844">
        <v>0</v>
      </c>
      <c r="U844">
        <v>210</v>
      </c>
      <c r="V844">
        <v>181</v>
      </c>
      <c r="W844">
        <v>0</v>
      </c>
      <c r="X844">
        <v>0</v>
      </c>
      <c r="Y844">
        <v>0</v>
      </c>
      <c r="Z844">
        <v>0</v>
      </c>
      <c r="AA844">
        <v>25</v>
      </c>
      <c r="AB844">
        <v>25</v>
      </c>
      <c r="AC844">
        <v>21</v>
      </c>
      <c r="AD844">
        <v>12</v>
      </c>
      <c r="AG844" t="s">
        <v>226</v>
      </c>
      <c r="AH844" t="s">
        <v>435</v>
      </c>
      <c r="AI844">
        <v>7</v>
      </c>
      <c r="AJ844">
        <v>6</v>
      </c>
      <c r="AK844">
        <v>27</v>
      </c>
      <c r="AL844">
        <v>2</v>
      </c>
      <c r="AM844">
        <v>0</v>
      </c>
      <c r="AN844" t="s">
        <v>49</v>
      </c>
      <c r="AO844">
        <v>0.86190476190476195</v>
      </c>
      <c r="AP844">
        <v>6</v>
      </c>
    </row>
    <row r="845" spans="1:42" x14ac:dyDescent="0.35">
      <c r="A845">
        <v>97724</v>
      </c>
      <c r="B845">
        <v>8619</v>
      </c>
      <c r="C845">
        <v>950753</v>
      </c>
      <c r="D845">
        <v>492</v>
      </c>
      <c r="E845" s="147">
        <v>44207</v>
      </c>
      <c r="F845" t="s">
        <v>605</v>
      </c>
      <c r="G845" t="s">
        <v>125</v>
      </c>
      <c r="H845" s="147">
        <v>44212</v>
      </c>
      <c r="I845">
        <v>7</v>
      </c>
      <c r="J845" t="s">
        <v>196</v>
      </c>
      <c r="L845">
        <v>0</v>
      </c>
      <c r="M845">
        <v>0</v>
      </c>
      <c r="U845">
        <v>1495</v>
      </c>
      <c r="V845">
        <v>1237</v>
      </c>
      <c r="W845">
        <v>0</v>
      </c>
      <c r="X845">
        <v>0</v>
      </c>
      <c r="Y845">
        <v>91</v>
      </c>
      <c r="Z845">
        <v>77</v>
      </c>
      <c r="AA845">
        <v>14</v>
      </c>
      <c r="AB845">
        <v>9</v>
      </c>
      <c r="AC845">
        <v>41</v>
      </c>
      <c r="AD845">
        <v>30</v>
      </c>
      <c r="AG845" t="s">
        <v>226</v>
      </c>
      <c r="AH845" t="s">
        <v>435</v>
      </c>
      <c r="AI845">
        <v>652</v>
      </c>
      <c r="AJ845">
        <v>218</v>
      </c>
      <c r="AK845">
        <v>143</v>
      </c>
      <c r="AL845">
        <v>2</v>
      </c>
      <c r="AM845">
        <v>0</v>
      </c>
      <c r="AN845" t="s">
        <v>49</v>
      </c>
      <c r="AO845">
        <v>0.82742474916387965</v>
      </c>
      <c r="AP845">
        <v>367</v>
      </c>
    </row>
    <row r="846" spans="1:42" x14ac:dyDescent="0.35">
      <c r="A846">
        <v>97749</v>
      </c>
      <c r="B846">
        <v>8619</v>
      </c>
      <c r="C846">
        <v>950778</v>
      </c>
      <c r="D846">
        <v>436</v>
      </c>
      <c r="E846" s="147">
        <v>44207</v>
      </c>
      <c r="F846" t="s">
        <v>610</v>
      </c>
      <c r="G846" t="s">
        <v>108</v>
      </c>
      <c r="H846" s="147">
        <v>44212</v>
      </c>
      <c r="I846">
        <v>7</v>
      </c>
      <c r="J846" t="s">
        <v>196</v>
      </c>
      <c r="L846">
        <v>0</v>
      </c>
      <c r="M846">
        <v>0</v>
      </c>
      <c r="U846">
        <v>1685</v>
      </c>
      <c r="V846">
        <v>1526</v>
      </c>
      <c r="W846">
        <v>0</v>
      </c>
      <c r="X846">
        <v>0</v>
      </c>
      <c r="Y846">
        <v>73</v>
      </c>
      <c r="Z846">
        <v>73</v>
      </c>
      <c r="AA846">
        <v>16</v>
      </c>
      <c r="AB846">
        <v>9</v>
      </c>
      <c r="AC846">
        <v>19</v>
      </c>
      <c r="AD846">
        <v>16</v>
      </c>
      <c r="AG846" t="s">
        <v>258</v>
      </c>
      <c r="AH846" t="s">
        <v>435</v>
      </c>
      <c r="AI846">
        <v>925</v>
      </c>
      <c r="AJ846">
        <v>363</v>
      </c>
      <c r="AK846">
        <v>149</v>
      </c>
      <c r="AL846">
        <v>2</v>
      </c>
      <c r="AM846">
        <v>0</v>
      </c>
      <c r="AN846" t="s">
        <v>49</v>
      </c>
      <c r="AO846">
        <v>0.90563798219584568</v>
      </c>
      <c r="AP846">
        <v>530</v>
      </c>
    </row>
    <row r="847" spans="1:42" x14ac:dyDescent="0.35">
      <c r="A847">
        <v>97755</v>
      </c>
      <c r="B847">
        <v>8619</v>
      </c>
      <c r="C847">
        <v>950784</v>
      </c>
      <c r="D847">
        <v>335</v>
      </c>
      <c r="E847" s="147">
        <v>44207</v>
      </c>
      <c r="F847" t="s">
        <v>611</v>
      </c>
      <c r="G847" t="s">
        <v>136</v>
      </c>
      <c r="H847" s="147">
        <v>44212</v>
      </c>
      <c r="I847">
        <v>7</v>
      </c>
      <c r="J847" t="s">
        <v>196</v>
      </c>
      <c r="L847">
        <v>0</v>
      </c>
      <c r="M847">
        <v>0</v>
      </c>
      <c r="U847">
        <v>139</v>
      </c>
      <c r="V847">
        <v>94</v>
      </c>
      <c r="W847">
        <v>0</v>
      </c>
      <c r="X847">
        <v>0</v>
      </c>
      <c r="Y847">
        <v>0</v>
      </c>
      <c r="Z847">
        <v>0</v>
      </c>
      <c r="AA847">
        <v>8</v>
      </c>
      <c r="AB847">
        <v>2</v>
      </c>
      <c r="AC847">
        <v>2</v>
      </c>
      <c r="AD847">
        <v>1</v>
      </c>
      <c r="AG847" t="s">
        <v>258</v>
      </c>
      <c r="AH847" t="s">
        <v>435</v>
      </c>
      <c r="AI847">
        <v>0</v>
      </c>
      <c r="AJ847">
        <v>0</v>
      </c>
      <c r="AK847">
        <v>6</v>
      </c>
      <c r="AL847">
        <v>0</v>
      </c>
      <c r="AM847">
        <v>0</v>
      </c>
      <c r="AN847" t="s">
        <v>49</v>
      </c>
      <c r="AO847">
        <v>0.67625899280575541</v>
      </c>
      <c r="AP847">
        <v>0</v>
      </c>
    </row>
    <row r="848" spans="1:42" x14ac:dyDescent="0.35">
      <c r="A848">
        <v>97759</v>
      </c>
      <c r="B848">
        <v>8619</v>
      </c>
      <c r="C848">
        <v>950788</v>
      </c>
      <c r="D848">
        <v>450</v>
      </c>
      <c r="E848" s="147">
        <v>44207</v>
      </c>
      <c r="F848" t="s">
        <v>612</v>
      </c>
      <c r="G848" t="s">
        <v>150</v>
      </c>
      <c r="H848" s="147">
        <v>44212</v>
      </c>
      <c r="I848">
        <v>7</v>
      </c>
      <c r="J848" t="s">
        <v>196</v>
      </c>
      <c r="L848">
        <v>0</v>
      </c>
      <c r="M848">
        <v>0</v>
      </c>
      <c r="U848">
        <v>1259</v>
      </c>
      <c r="V848">
        <v>961</v>
      </c>
      <c r="W848">
        <v>0</v>
      </c>
      <c r="X848">
        <v>0</v>
      </c>
      <c r="Y848">
        <v>96</v>
      </c>
      <c r="Z848">
        <v>74</v>
      </c>
      <c r="AA848">
        <v>29</v>
      </c>
      <c r="AB848">
        <v>21</v>
      </c>
      <c r="AC848">
        <v>12</v>
      </c>
      <c r="AD848">
        <v>6</v>
      </c>
      <c r="AG848" t="s">
        <v>258</v>
      </c>
      <c r="AH848" t="s">
        <v>435</v>
      </c>
      <c r="AI848">
        <v>457</v>
      </c>
      <c r="AJ848">
        <v>176</v>
      </c>
      <c r="AK848">
        <v>96</v>
      </c>
      <c r="AL848">
        <v>0</v>
      </c>
      <c r="AM848">
        <v>0</v>
      </c>
      <c r="AN848" t="s">
        <v>49</v>
      </c>
      <c r="AO848">
        <v>0.76330420969023038</v>
      </c>
      <c r="AP848">
        <v>281</v>
      </c>
    </row>
    <row r="849" spans="1:42" x14ac:dyDescent="0.35">
      <c r="A849">
        <v>97762</v>
      </c>
      <c r="B849">
        <v>8619</v>
      </c>
      <c r="C849">
        <v>950791</v>
      </c>
      <c r="D849">
        <v>324</v>
      </c>
      <c r="E849" s="147">
        <v>44207</v>
      </c>
      <c r="F849" t="s">
        <v>613</v>
      </c>
      <c r="G849" t="s">
        <v>65</v>
      </c>
      <c r="H849" s="147">
        <v>44212</v>
      </c>
      <c r="I849">
        <v>7</v>
      </c>
      <c r="J849" t="s">
        <v>196</v>
      </c>
      <c r="L849">
        <v>0</v>
      </c>
      <c r="M849">
        <v>0</v>
      </c>
      <c r="U849">
        <v>186</v>
      </c>
      <c r="V849">
        <v>119</v>
      </c>
      <c r="W849">
        <v>0</v>
      </c>
      <c r="X849">
        <v>0</v>
      </c>
      <c r="Y849">
        <v>0</v>
      </c>
      <c r="Z849">
        <v>0</v>
      </c>
      <c r="AA849">
        <v>21</v>
      </c>
      <c r="AB849">
        <v>10</v>
      </c>
      <c r="AC849">
        <v>0</v>
      </c>
      <c r="AD849">
        <v>0</v>
      </c>
      <c r="AG849" t="s">
        <v>255</v>
      </c>
      <c r="AH849" t="s">
        <v>435</v>
      </c>
      <c r="AI849">
        <v>2</v>
      </c>
      <c r="AJ849">
        <v>3</v>
      </c>
      <c r="AK849">
        <v>8</v>
      </c>
      <c r="AL849">
        <v>0</v>
      </c>
      <c r="AM849">
        <v>0</v>
      </c>
      <c r="AN849" t="s">
        <v>49</v>
      </c>
      <c r="AO849">
        <v>0.63978494623655913</v>
      </c>
      <c r="AP849">
        <v>2</v>
      </c>
    </row>
    <row r="850" spans="1:42" x14ac:dyDescent="0.35">
      <c r="A850">
        <v>97793</v>
      </c>
      <c r="B850">
        <v>8619</v>
      </c>
      <c r="C850">
        <v>950822</v>
      </c>
      <c r="D850">
        <v>454</v>
      </c>
      <c r="E850" s="147">
        <v>44207</v>
      </c>
      <c r="F850" t="s">
        <v>602</v>
      </c>
      <c r="G850" t="s">
        <v>126</v>
      </c>
      <c r="H850" s="147">
        <v>44212</v>
      </c>
      <c r="I850">
        <v>7</v>
      </c>
      <c r="J850" t="s">
        <v>196</v>
      </c>
      <c r="L850">
        <v>0</v>
      </c>
      <c r="M850">
        <v>0</v>
      </c>
      <c r="U850">
        <v>786</v>
      </c>
      <c r="V850">
        <v>730</v>
      </c>
      <c r="W850">
        <v>0</v>
      </c>
      <c r="X850">
        <v>0</v>
      </c>
      <c r="Y850">
        <v>146</v>
      </c>
      <c r="Z850">
        <v>121</v>
      </c>
      <c r="AA850">
        <v>14</v>
      </c>
      <c r="AB850">
        <v>7</v>
      </c>
      <c r="AC850">
        <v>30</v>
      </c>
      <c r="AD850">
        <v>30</v>
      </c>
      <c r="AG850" t="s">
        <v>223</v>
      </c>
      <c r="AH850" t="s">
        <v>435</v>
      </c>
      <c r="AI850">
        <v>318</v>
      </c>
      <c r="AJ850">
        <v>85</v>
      </c>
      <c r="AK850">
        <v>124</v>
      </c>
      <c r="AL850">
        <v>12</v>
      </c>
      <c r="AM850">
        <v>0</v>
      </c>
      <c r="AN850" t="s">
        <v>49</v>
      </c>
      <c r="AO850">
        <v>0.92875318066157764</v>
      </c>
      <c r="AP850">
        <v>156</v>
      </c>
    </row>
    <row r="851" spans="1:42" x14ac:dyDescent="0.35">
      <c r="A851">
        <v>97816</v>
      </c>
      <c r="B851">
        <v>8619</v>
      </c>
      <c r="C851">
        <v>950845</v>
      </c>
      <c r="D851">
        <v>364</v>
      </c>
      <c r="E851" s="147">
        <v>44207</v>
      </c>
      <c r="F851" t="s">
        <v>599</v>
      </c>
      <c r="G851" t="s">
        <v>77</v>
      </c>
      <c r="H851" s="147">
        <v>44213</v>
      </c>
      <c r="I851">
        <v>7</v>
      </c>
      <c r="J851" t="s">
        <v>197</v>
      </c>
      <c r="L851">
        <v>0</v>
      </c>
      <c r="M851">
        <v>0</v>
      </c>
      <c r="U851">
        <v>839</v>
      </c>
      <c r="V851">
        <v>741</v>
      </c>
      <c r="W851">
        <v>0</v>
      </c>
      <c r="X851">
        <v>0</v>
      </c>
      <c r="Y851">
        <v>111</v>
      </c>
      <c r="Z851">
        <v>99</v>
      </c>
      <c r="AA851">
        <v>8</v>
      </c>
      <c r="AB851">
        <v>4</v>
      </c>
      <c r="AC851">
        <v>48</v>
      </c>
      <c r="AD851">
        <v>32</v>
      </c>
      <c r="AG851" t="s">
        <v>291</v>
      </c>
      <c r="AH851" t="s">
        <v>435</v>
      </c>
      <c r="AI851">
        <v>353</v>
      </c>
      <c r="AJ851">
        <v>145</v>
      </c>
      <c r="AK851">
        <v>35</v>
      </c>
      <c r="AL851">
        <v>4</v>
      </c>
      <c r="AM851">
        <v>0</v>
      </c>
      <c r="AN851" t="s">
        <v>49</v>
      </c>
      <c r="AO851">
        <v>0.88319427890345648</v>
      </c>
      <c r="AP851">
        <v>218</v>
      </c>
    </row>
    <row r="852" spans="1:42" x14ac:dyDescent="0.35">
      <c r="A852">
        <v>97830</v>
      </c>
      <c r="B852">
        <v>8619</v>
      </c>
      <c r="C852">
        <v>950859</v>
      </c>
      <c r="D852">
        <v>429</v>
      </c>
      <c r="E852" s="147">
        <v>44207</v>
      </c>
      <c r="F852" t="s">
        <v>608</v>
      </c>
      <c r="G852" t="s">
        <v>78</v>
      </c>
      <c r="H852" s="147">
        <v>44213</v>
      </c>
      <c r="I852">
        <v>7</v>
      </c>
      <c r="J852" t="s">
        <v>197</v>
      </c>
      <c r="L852">
        <v>0</v>
      </c>
      <c r="M852">
        <v>0</v>
      </c>
      <c r="U852">
        <v>678</v>
      </c>
      <c r="V852">
        <v>627</v>
      </c>
      <c r="W852">
        <v>0</v>
      </c>
      <c r="X852">
        <v>0</v>
      </c>
      <c r="Y852">
        <v>58</v>
      </c>
      <c r="Z852">
        <v>53</v>
      </c>
      <c r="AA852">
        <v>10</v>
      </c>
      <c r="AB852">
        <v>3</v>
      </c>
      <c r="AC852">
        <v>50</v>
      </c>
      <c r="AD852">
        <v>39</v>
      </c>
      <c r="AG852" t="s">
        <v>1</v>
      </c>
      <c r="AH852" t="s">
        <v>435</v>
      </c>
      <c r="AI852">
        <v>307</v>
      </c>
      <c r="AJ852">
        <v>89</v>
      </c>
      <c r="AK852">
        <v>110</v>
      </c>
      <c r="AL852">
        <v>7</v>
      </c>
      <c r="AM852">
        <v>0</v>
      </c>
      <c r="AN852" t="s">
        <v>49</v>
      </c>
      <c r="AO852">
        <v>0.9247787610619469</v>
      </c>
      <c r="AP852">
        <v>147</v>
      </c>
    </row>
    <row r="853" spans="1:42" x14ac:dyDescent="0.35">
      <c r="A853">
        <v>97833</v>
      </c>
      <c r="B853">
        <v>8619</v>
      </c>
      <c r="C853">
        <v>950862</v>
      </c>
      <c r="D853">
        <v>373</v>
      </c>
      <c r="E853" s="147">
        <v>44207</v>
      </c>
      <c r="F853" t="s">
        <v>609</v>
      </c>
      <c r="G853" t="s">
        <v>97</v>
      </c>
      <c r="H853" s="147">
        <v>44213</v>
      </c>
      <c r="I853">
        <v>7</v>
      </c>
      <c r="J853" t="s">
        <v>197</v>
      </c>
      <c r="L853">
        <v>0</v>
      </c>
      <c r="M853">
        <v>0</v>
      </c>
      <c r="U853">
        <v>788</v>
      </c>
      <c r="V853">
        <v>598</v>
      </c>
      <c r="W853">
        <v>0</v>
      </c>
      <c r="X853">
        <v>0</v>
      </c>
      <c r="Y853">
        <v>214</v>
      </c>
      <c r="Z853">
        <v>199</v>
      </c>
      <c r="AA853">
        <v>20</v>
      </c>
      <c r="AB853">
        <v>14</v>
      </c>
      <c r="AC853">
        <v>20</v>
      </c>
      <c r="AD853">
        <v>16</v>
      </c>
      <c r="AG853" t="s">
        <v>1</v>
      </c>
      <c r="AH853" t="s">
        <v>435</v>
      </c>
      <c r="AI853">
        <v>243</v>
      </c>
      <c r="AJ853">
        <v>99</v>
      </c>
      <c r="AK853">
        <v>63</v>
      </c>
      <c r="AL853">
        <v>1</v>
      </c>
      <c r="AM853">
        <v>0</v>
      </c>
      <c r="AN853" t="s">
        <v>49</v>
      </c>
      <c r="AO853">
        <v>0.75888324873096447</v>
      </c>
      <c r="AP853">
        <v>144</v>
      </c>
    </row>
    <row r="854" spans="1:42" x14ac:dyDescent="0.35">
      <c r="A854">
        <v>97836</v>
      </c>
      <c r="B854">
        <v>8619</v>
      </c>
      <c r="C854">
        <v>950865</v>
      </c>
      <c r="D854">
        <v>386</v>
      </c>
      <c r="E854" s="147">
        <v>44207</v>
      </c>
      <c r="F854" t="s">
        <v>604</v>
      </c>
      <c r="G854" t="s">
        <v>105</v>
      </c>
      <c r="H854" s="147">
        <v>44213</v>
      </c>
      <c r="I854">
        <v>7</v>
      </c>
      <c r="J854" t="s">
        <v>197</v>
      </c>
      <c r="L854">
        <v>0</v>
      </c>
      <c r="M854">
        <v>0</v>
      </c>
      <c r="U854">
        <v>1257</v>
      </c>
      <c r="V854">
        <v>1138</v>
      </c>
      <c r="W854">
        <v>0</v>
      </c>
      <c r="X854">
        <v>0</v>
      </c>
      <c r="Y854">
        <v>183</v>
      </c>
      <c r="Z854">
        <v>175</v>
      </c>
      <c r="AA854">
        <v>16</v>
      </c>
      <c r="AB854">
        <v>15</v>
      </c>
      <c r="AC854">
        <v>50</v>
      </c>
      <c r="AD854">
        <v>47</v>
      </c>
      <c r="AG854" t="s">
        <v>1</v>
      </c>
      <c r="AH854" t="s">
        <v>435</v>
      </c>
      <c r="AI854">
        <v>500</v>
      </c>
      <c r="AJ854">
        <v>183</v>
      </c>
      <c r="AK854">
        <v>172</v>
      </c>
      <c r="AL854">
        <v>21</v>
      </c>
      <c r="AM854">
        <v>0</v>
      </c>
      <c r="AN854" t="s">
        <v>49</v>
      </c>
      <c r="AO854">
        <v>0.90533015115354021</v>
      </c>
      <c r="AP854">
        <v>256</v>
      </c>
    </row>
    <row r="855" spans="1:42" x14ac:dyDescent="0.35">
      <c r="A855">
        <v>97842</v>
      </c>
      <c r="B855">
        <v>8619</v>
      </c>
      <c r="C855">
        <v>950871</v>
      </c>
      <c r="D855">
        <v>376</v>
      </c>
      <c r="E855" s="147">
        <v>44207</v>
      </c>
      <c r="F855" t="s">
        <v>600</v>
      </c>
      <c r="G855" t="s">
        <v>143</v>
      </c>
      <c r="H855" s="147">
        <v>44213</v>
      </c>
      <c r="I855">
        <v>7</v>
      </c>
      <c r="J855" t="s">
        <v>197</v>
      </c>
      <c r="L855">
        <v>0</v>
      </c>
      <c r="M855">
        <v>0</v>
      </c>
      <c r="U855">
        <v>743</v>
      </c>
      <c r="V855">
        <v>617</v>
      </c>
      <c r="W855">
        <v>0</v>
      </c>
      <c r="X855">
        <v>0</v>
      </c>
      <c r="Y855">
        <v>129</v>
      </c>
      <c r="Z855">
        <v>105</v>
      </c>
      <c r="AA855">
        <v>12</v>
      </c>
      <c r="AB855">
        <v>10</v>
      </c>
      <c r="AC855">
        <v>39</v>
      </c>
      <c r="AD855">
        <v>31</v>
      </c>
      <c r="AG855" t="s">
        <v>1</v>
      </c>
      <c r="AH855" t="s">
        <v>435</v>
      </c>
      <c r="AI855">
        <v>284</v>
      </c>
      <c r="AJ855">
        <v>98</v>
      </c>
      <c r="AK855">
        <v>91</v>
      </c>
      <c r="AL855">
        <v>14</v>
      </c>
      <c r="AM855">
        <v>0</v>
      </c>
      <c r="AN855" t="s">
        <v>49</v>
      </c>
      <c r="AO855">
        <v>0.83041722745625846</v>
      </c>
      <c r="AP855">
        <v>160</v>
      </c>
    </row>
    <row r="856" spans="1:42" x14ac:dyDescent="0.35">
      <c r="A856">
        <v>97846</v>
      </c>
      <c r="B856">
        <v>8619</v>
      </c>
      <c r="C856">
        <v>950875</v>
      </c>
      <c r="D856">
        <v>425</v>
      </c>
      <c r="E856" s="147">
        <v>44207</v>
      </c>
      <c r="F856" t="s">
        <v>607</v>
      </c>
      <c r="G856" t="s">
        <v>70</v>
      </c>
      <c r="H856" s="147">
        <v>44213</v>
      </c>
      <c r="I856">
        <v>7</v>
      </c>
      <c r="J856" t="s">
        <v>197</v>
      </c>
      <c r="L856">
        <v>0</v>
      </c>
      <c r="M856">
        <v>0</v>
      </c>
      <c r="U856">
        <v>213</v>
      </c>
      <c r="V856">
        <v>173</v>
      </c>
      <c r="W856">
        <v>0</v>
      </c>
      <c r="X856">
        <v>0</v>
      </c>
      <c r="Y856">
        <v>0</v>
      </c>
      <c r="Z856">
        <v>0</v>
      </c>
      <c r="AA856">
        <v>25</v>
      </c>
      <c r="AB856">
        <v>23</v>
      </c>
      <c r="AC856">
        <v>21</v>
      </c>
      <c r="AD856">
        <v>13</v>
      </c>
      <c r="AG856" t="s">
        <v>226</v>
      </c>
      <c r="AH856" t="s">
        <v>435</v>
      </c>
      <c r="AI856">
        <v>7</v>
      </c>
      <c r="AJ856">
        <v>6</v>
      </c>
      <c r="AK856">
        <v>39</v>
      </c>
      <c r="AL856">
        <v>4</v>
      </c>
      <c r="AM856">
        <v>0</v>
      </c>
      <c r="AN856" t="s">
        <v>49</v>
      </c>
      <c r="AO856">
        <v>0.81220657276995301</v>
      </c>
      <c r="AP856">
        <v>6</v>
      </c>
    </row>
    <row r="857" spans="1:42" x14ac:dyDescent="0.35">
      <c r="A857">
        <v>97851</v>
      </c>
      <c r="B857">
        <v>8619</v>
      </c>
      <c r="C857">
        <v>950880</v>
      </c>
      <c r="D857">
        <v>492</v>
      </c>
      <c r="E857" s="147">
        <v>44207</v>
      </c>
      <c r="F857" t="s">
        <v>605</v>
      </c>
      <c r="G857" t="s">
        <v>125</v>
      </c>
      <c r="H857" s="147">
        <v>44213</v>
      </c>
      <c r="I857">
        <v>7</v>
      </c>
      <c r="J857" t="s">
        <v>197</v>
      </c>
      <c r="L857">
        <v>0</v>
      </c>
      <c r="M857">
        <v>0</v>
      </c>
      <c r="U857">
        <v>1499</v>
      </c>
      <c r="V857">
        <v>1252</v>
      </c>
      <c r="W857">
        <v>0</v>
      </c>
      <c r="X857">
        <v>0</v>
      </c>
      <c r="Y857">
        <v>91</v>
      </c>
      <c r="Z857">
        <v>74</v>
      </c>
      <c r="AA857">
        <v>14</v>
      </c>
      <c r="AB857">
        <v>8</v>
      </c>
      <c r="AC857">
        <v>41</v>
      </c>
      <c r="AD857">
        <v>27</v>
      </c>
      <c r="AG857" t="s">
        <v>226</v>
      </c>
      <c r="AH857" t="s">
        <v>435</v>
      </c>
      <c r="AI857">
        <v>613</v>
      </c>
      <c r="AJ857">
        <v>207</v>
      </c>
      <c r="AK857">
        <v>147</v>
      </c>
      <c r="AL857">
        <v>3</v>
      </c>
      <c r="AM857">
        <v>0</v>
      </c>
      <c r="AN857" t="s">
        <v>49</v>
      </c>
      <c r="AO857">
        <v>0.83522348232154775</v>
      </c>
      <c r="AP857">
        <v>342</v>
      </c>
    </row>
    <row r="858" spans="1:42" x14ac:dyDescent="0.35">
      <c r="A858">
        <v>97876</v>
      </c>
      <c r="B858">
        <v>8619</v>
      </c>
      <c r="C858">
        <v>950905</v>
      </c>
      <c r="D858">
        <v>436</v>
      </c>
      <c r="E858" s="147">
        <v>44207</v>
      </c>
      <c r="F858" t="s">
        <v>610</v>
      </c>
      <c r="G858" t="s">
        <v>108</v>
      </c>
      <c r="H858" s="147">
        <v>44213</v>
      </c>
      <c r="I858">
        <v>7</v>
      </c>
      <c r="J858" t="s">
        <v>197</v>
      </c>
      <c r="L858">
        <v>0</v>
      </c>
      <c r="M858">
        <v>0</v>
      </c>
      <c r="U858">
        <v>1685</v>
      </c>
      <c r="V858">
        <v>1526</v>
      </c>
      <c r="W858">
        <v>0</v>
      </c>
      <c r="X858">
        <v>0</v>
      </c>
      <c r="Y858">
        <v>73</v>
      </c>
      <c r="Z858">
        <v>73</v>
      </c>
      <c r="AA858">
        <v>16</v>
      </c>
      <c r="AB858">
        <v>9</v>
      </c>
      <c r="AC858">
        <v>24</v>
      </c>
      <c r="AD858">
        <v>16</v>
      </c>
      <c r="AG858" t="s">
        <v>258</v>
      </c>
      <c r="AH858" t="s">
        <v>435</v>
      </c>
      <c r="AI858">
        <v>925</v>
      </c>
      <c r="AJ858">
        <v>363</v>
      </c>
      <c r="AK858">
        <v>160</v>
      </c>
      <c r="AL858">
        <v>12</v>
      </c>
      <c r="AM858">
        <v>0</v>
      </c>
      <c r="AN858" t="s">
        <v>49</v>
      </c>
      <c r="AO858">
        <v>0.90563798219584568</v>
      </c>
      <c r="AP858">
        <v>530</v>
      </c>
    </row>
    <row r="859" spans="1:42" x14ac:dyDescent="0.35">
      <c r="A859">
        <v>97882</v>
      </c>
      <c r="B859">
        <v>8619</v>
      </c>
      <c r="C859">
        <v>950911</v>
      </c>
      <c r="D859">
        <v>335</v>
      </c>
      <c r="E859" s="147">
        <v>44207</v>
      </c>
      <c r="F859" t="s">
        <v>611</v>
      </c>
      <c r="G859" t="s">
        <v>136</v>
      </c>
      <c r="H859" s="147">
        <v>44213</v>
      </c>
      <c r="I859">
        <v>7</v>
      </c>
      <c r="J859" t="s">
        <v>197</v>
      </c>
      <c r="L859">
        <v>0</v>
      </c>
      <c r="M859">
        <v>0</v>
      </c>
      <c r="U859">
        <v>144</v>
      </c>
      <c r="V859">
        <v>85</v>
      </c>
      <c r="W859">
        <v>0</v>
      </c>
      <c r="X859">
        <v>0</v>
      </c>
      <c r="Y859">
        <v>0</v>
      </c>
      <c r="Z859">
        <v>0</v>
      </c>
      <c r="AA859">
        <v>8</v>
      </c>
      <c r="AB859">
        <v>4</v>
      </c>
      <c r="AC859">
        <v>2</v>
      </c>
      <c r="AD859">
        <v>1</v>
      </c>
      <c r="AG859" t="s">
        <v>258</v>
      </c>
      <c r="AH859" t="s">
        <v>435</v>
      </c>
      <c r="AI859">
        <v>0</v>
      </c>
      <c r="AJ859">
        <v>0</v>
      </c>
      <c r="AK859">
        <v>3</v>
      </c>
      <c r="AL859">
        <v>0</v>
      </c>
      <c r="AM859">
        <v>0</v>
      </c>
      <c r="AN859" t="s">
        <v>49</v>
      </c>
      <c r="AO859">
        <v>0.59027777777777779</v>
      </c>
      <c r="AP859">
        <v>0</v>
      </c>
    </row>
    <row r="860" spans="1:42" x14ac:dyDescent="0.35">
      <c r="A860">
        <v>97886</v>
      </c>
      <c r="B860">
        <v>8619</v>
      </c>
      <c r="C860">
        <v>950915</v>
      </c>
      <c r="D860">
        <v>450</v>
      </c>
      <c r="E860" s="147">
        <v>44207</v>
      </c>
      <c r="F860" t="s">
        <v>612</v>
      </c>
      <c r="G860" t="s">
        <v>150</v>
      </c>
      <c r="H860" s="147">
        <v>44213</v>
      </c>
      <c r="I860">
        <v>7</v>
      </c>
      <c r="J860" t="s">
        <v>197</v>
      </c>
      <c r="L860">
        <v>0</v>
      </c>
      <c r="M860">
        <v>0</v>
      </c>
      <c r="U860">
        <v>1233</v>
      </c>
      <c r="V860">
        <v>948</v>
      </c>
      <c r="W860">
        <v>0</v>
      </c>
      <c r="X860">
        <v>0</v>
      </c>
      <c r="Y860">
        <v>96</v>
      </c>
      <c r="Z860">
        <v>66</v>
      </c>
      <c r="AA860">
        <v>28</v>
      </c>
      <c r="AB860">
        <v>21</v>
      </c>
      <c r="AC860">
        <v>12</v>
      </c>
      <c r="AD860">
        <v>8</v>
      </c>
      <c r="AG860" t="s">
        <v>258</v>
      </c>
      <c r="AH860" t="s">
        <v>435</v>
      </c>
      <c r="AI860">
        <v>465</v>
      </c>
      <c r="AJ860">
        <v>177</v>
      </c>
      <c r="AK860">
        <v>92</v>
      </c>
      <c r="AL860">
        <v>0</v>
      </c>
      <c r="AM860">
        <v>0</v>
      </c>
      <c r="AN860" t="s">
        <v>49</v>
      </c>
      <c r="AO860">
        <v>0.76885644768856443</v>
      </c>
      <c r="AP860">
        <v>288</v>
      </c>
    </row>
    <row r="861" spans="1:42" x14ac:dyDescent="0.35">
      <c r="A861">
        <v>97889</v>
      </c>
      <c r="B861">
        <v>8619</v>
      </c>
      <c r="C861">
        <v>950918</v>
      </c>
      <c r="D861">
        <v>324</v>
      </c>
      <c r="E861" s="147">
        <v>44207</v>
      </c>
      <c r="F861" t="s">
        <v>613</v>
      </c>
      <c r="G861" t="s">
        <v>65</v>
      </c>
      <c r="H861" s="147">
        <v>44213</v>
      </c>
      <c r="I861">
        <v>7</v>
      </c>
      <c r="J861" t="s">
        <v>197</v>
      </c>
      <c r="L861">
        <v>0</v>
      </c>
      <c r="M861">
        <v>0</v>
      </c>
      <c r="U861">
        <v>186</v>
      </c>
      <c r="V861">
        <v>115</v>
      </c>
      <c r="W861">
        <v>0</v>
      </c>
      <c r="X861">
        <v>0</v>
      </c>
      <c r="Y861">
        <v>0</v>
      </c>
      <c r="Z861">
        <v>0</v>
      </c>
      <c r="AA861">
        <v>21</v>
      </c>
      <c r="AB861">
        <v>11</v>
      </c>
      <c r="AC861">
        <v>0</v>
      </c>
      <c r="AD861">
        <v>0</v>
      </c>
      <c r="AG861" t="s">
        <v>255</v>
      </c>
      <c r="AH861" t="s">
        <v>435</v>
      </c>
      <c r="AI861">
        <v>2</v>
      </c>
      <c r="AJ861">
        <v>3</v>
      </c>
      <c r="AK861">
        <v>10</v>
      </c>
      <c r="AL861">
        <v>0</v>
      </c>
      <c r="AM861">
        <v>0</v>
      </c>
      <c r="AN861" t="s">
        <v>49</v>
      </c>
      <c r="AO861">
        <v>0.61827956989247312</v>
      </c>
      <c r="AP861">
        <v>2</v>
      </c>
    </row>
    <row r="862" spans="1:42" x14ac:dyDescent="0.35">
      <c r="A862">
        <v>97920</v>
      </c>
      <c r="B862">
        <v>8619</v>
      </c>
      <c r="C862">
        <v>950949</v>
      </c>
      <c r="D862">
        <v>454</v>
      </c>
      <c r="E862" s="147">
        <v>44207</v>
      </c>
      <c r="F862" t="s">
        <v>602</v>
      </c>
      <c r="G862" t="s">
        <v>126</v>
      </c>
      <c r="H862" s="147">
        <v>44213</v>
      </c>
      <c r="I862">
        <v>7</v>
      </c>
      <c r="J862" t="s">
        <v>197</v>
      </c>
      <c r="L862">
        <v>0</v>
      </c>
      <c r="M862">
        <v>0</v>
      </c>
      <c r="U862">
        <v>786</v>
      </c>
      <c r="V862">
        <v>722</v>
      </c>
      <c r="W862">
        <v>0</v>
      </c>
      <c r="X862">
        <v>0</v>
      </c>
      <c r="Y862">
        <v>142</v>
      </c>
      <c r="Z862">
        <v>136</v>
      </c>
      <c r="AA862">
        <v>12</v>
      </c>
      <c r="AB862">
        <v>7</v>
      </c>
      <c r="AC862">
        <v>30</v>
      </c>
      <c r="AD862">
        <v>30</v>
      </c>
      <c r="AG862" t="s">
        <v>223</v>
      </c>
      <c r="AH862" t="s">
        <v>435</v>
      </c>
      <c r="AI862">
        <v>308</v>
      </c>
      <c r="AJ862">
        <v>84</v>
      </c>
      <c r="AK862">
        <v>107</v>
      </c>
      <c r="AL862">
        <v>5</v>
      </c>
      <c r="AM862">
        <v>0</v>
      </c>
      <c r="AN862" t="s">
        <v>49</v>
      </c>
      <c r="AO862">
        <v>0.9185750636132316</v>
      </c>
      <c r="AP862">
        <v>147</v>
      </c>
    </row>
    <row r="863" spans="1:42" x14ac:dyDescent="0.35">
      <c r="A863">
        <v>97925</v>
      </c>
      <c r="B863">
        <v>8619</v>
      </c>
      <c r="C863">
        <v>950954</v>
      </c>
      <c r="D863">
        <v>368</v>
      </c>
      <c r="E863" s="147">
        <v>44207</v>
      </c>
      <c r="F863" t="s">
        <v>614</v>
      </c>
      <c r="G863" t="s">
        <v>157</v>
      </c>
      <c r="H863" s="147">
        <v>44213</v>
      </c>
      <c r="I863">
        <v>7</v>
      </c>
      <c r="J863" t="s">
        <v>197</v>
      </c>
      <c r="L863">
        <v>0</v>
      </c>
      <c r="M863">
        <v>0</v>
      </c>
      <c r="U863">
        <v>1037</v>
      </c>
      <c r="V863">
        <v>765</v>
      </c>
      <c r="W863">
        <v>0</v>
      </c>
      <c r="X863">
        <v>0</v>
      </c>
      <c r="Y863">
        <v>119</v>
      </c>
      <c r="Z863">
        <v>111</v>
      </c>
      <c r="AA863">
        <v>12</v>
      </c>
      <c r="AB863">
        <v>8</v>
      </c>
      <c r="AC863">
        <v>11</v>
      </c>
      <c r="AD863">
        <v>8</v>
      </c>
      <c r="AG863" t="s">
        <v>223</v>
      </c>
      <c r="AH863" t="s">
        <v>435</v>
      </c>
      <c r="AI863">
        <v>483</v>
      </c>
      <c r="AJ863">
        <v>135</v>
      </c>
      <c r="AK863">
        <v>105</v>
      </c>
      <c r="AL863">
        <v>5</v>
      </c>
      <c r="AM863">
        <v>0</v>
      </c>
      <c r="AN863" t="s">
        <v>49</v>
      </c>
      <c r="AO863">
        <v>0.73770491803278693</v>
      </c>
      <c r="AP863">
        <v>203</v>
      </c>
    </row>
    <row r="864" spans="1:42" x14ac:dyDescent="0.35">
      <c r="A864">
        <v>97798</v>
      </c>
      <c r="B864">
        <v>8619</v>
      </c>
      <c r="C864">
        <v>950827</v>
      </c>
      <c r="D864">
        <v>368</v>
      </c>
      <c r="E864" s="147">
        <v>44207</v>
      </c>
      <c r="F864" t="s">
        <v>614</v>
      </c>
      <c r="G864" t="s">
        <v>157</v>
      </c>
      <c r="H864" s="147">
        <v>44212</v>
      </c>
      <c r="I864">
        <v>7</v>
      </c>
      <c r="J864" t="s">
        <v>196</v>
      </c>
      <c r="L864">
        <v>0</v>
      </c>
      <c r="M864">
        <v>0</v>
      </c>
      <c r="U864">
        <v>1044</v>
      </c>
      <c r="V864">
        <v>825</v>
      </c>
      <c r="W864">
        <v>6</v>
      </c>
      <c r="X864">
        <v>1</v>
      </c>
      <c r="Y864">
        <v>120</v>
      </c>
      <c r="Z864">
        <v>112</v>
      </c>
      <c r="AA864">
        <v>14</v>
      </c>
      <c r="AB864">
        <v>9</v>
      </c>
      <c r="AC864">
        <v>10</v>
      </c>
      <c r="AD864">
        <v>8</v>
      </c>
      <c r="AG864" t="s">
        <v>223</v>
      </c>
      <c r="AH864" t="s">
        <v>435</v>
      </c>
      <c r="AI864">
        <v>483</v>
      </c>
      <c r="AJ864">
        <v>141</v>
      </c>
      <c r="AK864">
        <v>102</v>
      </c>
      <c r="AL864">
        <v>5</v>
      </c>
      <c r="AM864">
        <v>0</v>
      </c>
      <c r="AN864" t="s">
        <v>49</v>
      </c>
      <c r="AO864">
        <v>0.79022988505747127</v>
      </c>
      <c r="AP864">
        <v>234</v>
      </c>
    </row>
    <row r="865" spans="1:42" x14ac:dyDescent="0.35">
      <c r="A865">
        <v>97290</v>
      </c>
      <c r="B865">
        <v>8619</v>
      </c>
      <c r="C865">
        <v>950319</v>
      </c>
      <c r="D865">
        <v>368</v>
      </c>
      <c r="E865" s="147">
        <v>44207</v>
      </c>
      <c r="F865" t="s">
        <v>614</v>
      </c>
      <c r="G865" t="s">
        <v>157</v>
      </c>
      <c r="H865" s="147">
        <v>44208</v>
      </c>
      <c r="I865">
        <v>7</v>
      </c>
      <c r="J865" t="s">
        <v>199</v>
      </c>
      <c r="L865">
        <v>0</v>
      </c>
      <c r="M865">
        <v>0</v>
      </c>
      <c r="U865">
        <v>1046</v>
      </c>
      <c r="V865">
        <v>909</v>
      </c>
      <c r="W865">
        <v>6</v>
      </c>
      <c r="X865">
        <v>1</v>
      </c>
      <c r="Y865">
        <v>108</v>
      </c>
      <c r="Z865">
        <v>101</v>
      </c>
      <c r="AA865">
        <v>14</v>
      </c>
      <c r="AB865">
        <v>7</v>
      </c>
      <c r="AC865">
        <v>12</v>
      </c>
      <c r="AD865">
        <v>10</v>
      </c>
      <c r="AG865" t="s">
        <v>223</v>
      </c>
      <c r="AH865" t="s">
        <v>435</v>
      </c>
      <c r="AI865">
        <v>521</v>
      </c>
      <c r="AJ865">
        <v>163</v>
      </c>
      <c r="AK865">
        <v>115</v>
      </c>
      <c r="AL865">
        <v>4</v>
      </c>
      <c r="AM865">
        <v>0</v>
      </c>
      <c r="AN865" t="s">
        <v>49</v>
      </c>
      <c r="AO865">
        <v>0.86902485659655837</v>
      </c>
      <c r="AP865">
        <v>269</v>
      </c>
    </row>
    <row r="866" spans="1:42" x14ac:dyDescent="0.35">
      <c r="A866">
        <v>97417</v>
      </c>
      <c r="B866">
        <v>8619</v>
      </c>
      <c r="C866">
        <v>950446</v>
      </c>
      <c r="D866">
        <v>368</v>
      </c>
      <c r="E866" s="147">
        <v>44207</v>
      </c>
      <c r="F866" t="s">
        <v>614</v>
      </c>
      <c r="G866" t="s">
        <v>157</v>
      </c>
      <c r="H866" s="147">
        <v>44209</v>
      </c>
      <c r="I866">
        <v>7</v>
      </c>
      <c r="J866" t="s">
        <v>200</v>
      </c>
      <c r="L866">
        <v>0</v>
      </c>
      <c r="M866">
        <v>0</v>
      </c>
      <c r="U866">
        <v>1047</v>
      </c>
      <c r="V866">
        <v>903</v>
      </c>
      <c r="W866">
        <v>6</v>
      </c>
      <c r="X866">
        <v>1</v>
      </c>
      <c r="Y866">
        <v>109</v>
      </c>
      <c r="Z866">
        <v>99</v>
      </c>
      <c r="AA866">
        <v>14</v>
      </c>
      <c r="AB866">
        <v>11</v>
      </c>
      <c r="AC866">
        <v>12</v>
      </c>
      <c r="AD866">
        <v>10</v>
      </c>
      <c r="AG866" t="s">
        <v>223</v>
      </c>
      <c r="AH866" t="s">
        <v>435</v>
      </c>
      <c r="AI866">
        <v>527</v>
      </c>
      <c r="AJ866">
        <v>161</v>
      </c>
      <c r="AK866">
        <v>125</v>
      </c>
      <c r="AL866">
        <v>7</v>
      </c>
      <c r="AM866">
        <v>0</v>
      </c>
      <c r="AN866" t="s">
        <v>49</v>
      </c>
      <c r="AO866">
        <v>0.86246418338108888</v>
      </c>
      <c r="AP866">
        <v>268</v>
      </c>
    </row>
    <row r="867" spans="1:42" x14ac:dyDescent="0.35">
      <c r="A867">
        <v>97544</v>
      </c>
      <c r="B867">
        <v>8619</v>
      </c>
      <c r="C867">
        <v>950573</v>
      </c>
      <c r="D867">
        <v>368</v>
      </c>
      <c r="E867" s="147">
        <v>44207</v>
      </c>
      <c r="F867" t="s">
        <v>614</v>
      </c>
      <c r="G867" t="s">
        <v>157</v>
      </c>
      <c r="H867" s="147">
        <v>44210</v>
      </c>
      <c r="I867">
        <v>7</v>
      </c>
      <c r="J867" t="s">
        <v>198</v>
      </c>
      <c r="L867">
        <v>0</v>
      </c>
      <c r="M867">
        <v>0</v>
      </c>
      <c r="U867">
        <v>1042</v>
      </c>
      <c r="V867">
        <v>869</v>
      </c>
      <c r="W867">
        <v>6</v>
      </c>
      <c r="X867">
        <v>1</v>
      </c>
      <c r="Y867">
        <v>108</v>
      </c>
      <c r="Z867">
        <v>99</v>
      </c>
      <c r="AA867">
        <v>14</v>
      </c>
      <c r="AB867">
        <v>10</v>
      </c>
      <c r="AC867">
        <v>12</v>
      </c>
      <c r="AD867">
        <v>10</v>
      </c>
      <c r="AG867" t="s">
        <v>223</v>
      </c>
      <c r="AH867" t="s">
        <v>435</v>
      </c>
      <c r="AI867">
        <v>529</v>
      </c>
      <c r="AJ867">
        <v>163</v>
      </c>
      <c r="AK867">
        <v>134</v>
      </c>
      <c r="AL867">
        <v>6</v>
      </c>
      <c r="AM867">
        <v>0</v>
      </c>
      <c r="AN867" t="s">
        <v>49</v>
      </c>
      <c r="AO867">
        <v>0.83397312859884842</v>
      </c>
      <c r="AP867">
        <v>263</v>
      </c>
    </row>
    <row r="868" spans="1:42" x14ac:dyDescent="0.35">
      <c r="A868">
        <v>97671</v>
      </c>
      <c r="B868">
        <v>8619</v>
      </c>
      <c r="C868">
        <v>950700</v>
      </c>
      <c r="D868">
        <v>368</v>
      </c>
      <c r="E868" s="147">
        <v>44207</v>
      </c>
      <c r="F868" t="s">
        <v>614</v>
      </c>
      <c r="G868" t="s">
        <v>157</v>
      </c>
      <c r="H868" s="147">
        <v>44211</v>
      </c>
      <c r="I868">
        <v>7</v>
      </c>
      <c r="J868" t="s">
        <v>194</v>
      </c>
      <c r="L868">
        <v>0</v>
      </c>
      <c r="M868">
        <v>0</v>
      </c>
      <c r="U868">
        <v>1089</v>
      </c>
      <c r="V868">
        <v>830</v>
      </c>
      <c r="W868">
        <v>6</v>
      </c>
      <c r="X868">
        <v>1</v>
      </c>
      <c r="Y868">
        <v>129</v>
      </c>
      <c r="Z868">
        <v>105</v>
      </c>
      <c r="AA868">
        <v>14</v>
      </c>
      <c r="AB868">
        <v>10</v>
      </c>
      <c r="AC868">
        <v>12</v>
      </c>
      <c r="AD868">
        <v>9</v>
      </c>
      <c r="AG868" t="s">
        <v>223</v>
      </c>
      <c r="AH868" t="s">
        <v>435</v>
      </c>
      <c r="AI868">
        <v>515</v>
      </c>
      <c r="AJ868">
        <v>150</v>
      </c>
      <c r="AK868">
        <v>122</v>
      </c>
      <c r="AL868">
        <v>8</v>
      </c>
      <c r="AM868">
        <v>0</v>
      </c>
      <c r="AN868" t="s">
        <v>49</v>
      </c>
      <c r="AO868">
        <v>0.76216712580348944</v>
      </c>
      <c r="AP868">
        <v>246</v>
      </c>
    </row>
    <row r="869" spans="1:42" x14ac:dyDescent="0.35">
      <c r="A869">
        <v>97129</v>
      </c>
      <c r="B869">
        <v>8619</v>
      </c>
      <c r="C869">
        <v>950158</v>
      </c>
      <c r="D869">
        <v>402</v>
      </c>
      <c r="E869" s="147">
        <v>44207</v>
      </c>
      <c r="F869" t="s">
        <v>570</v>
      </c>
      <c r="G869" t="s">
        <v>72</v>
      </c>
      <c r="H869" s="147">
        <v>44207</v>
      </c>
      <c r="I869">
        <v>7</v>
      </c>
      <c r="J869" t="s">
        <v>195</v>
      </c>
      <c r="L869">
        <v>0</v>
      </c>
      <c r="M869">
        <v>0</v>
      </c>
      <c r="U869">
        <v>575</v>
      </c>
      <c r="V869">
        <v>460</v>
      </c>
      <c r="W869">
        <v>7</v>
      </c>
      <c r="X869">
        <v>4</v>
      </c>
      <c r="Y869">
        <v>19</v>
      </c>
      <c r="Z869">
        <v>15</v>
      </c>
      <c r="AA869">
        <v>0</v>
      </c>
      <c r="AB869">
        <v>0</v>
      </c>
      <c r="AC869">
        <v>38</v>
      </c>
      <c r="AD869">
        <v>23</v>
      </c>
      <c r="AG869" t="s">
        <v>255</v>
      </c>
      <c r="AH869" t="s">
        <v>435</v>
      </c>
      <c r="AI869">
        <v>210</v>
      </c>
      <c r="AJ869">
        <v>78</v>
      </c>
      <c r="AK869">
        <v>67</v>
      </c>
      <c r="AL869">
        <v>5</v>
      </c>
      <c r="AM869">
        <v>8</v>
      </c>
      <c r="AN869" t="s">
        <v>49</v>
      </c>
      <c r="AO869">
        <v>0.8</v>
      </c>
      <c r="AP869">
        <v>123</v>
      </c>
    </row>
    <row r="870" spans="1:42" x14ac:dyDescent="0.35">
      <c r="A870">
        <v>97256</v>
      </c>
      <c r="B870">
        <v>8619</v>
      </c>
      <c r="C870">
        <v>950285</v>
      </c>
      <c r="D870">
        <v>402</v>
      </c>
      <c r="E870" s="147">
        <v>44207</v>
      </c>
      <c r="F870" t="s">
        <v>570</v>
      </c>
      <c r="G870" t="s">
        <v>72</v>
      </c>
      <c r="H870" s="147">
        <v>44208</v>
      </c>
      <c r="I870">
        <v>7</v>
      </c>
      <c r="J870" t="s">
        <v>199</v>
      </c>
      <c r="L870">
        <v>0</v>
      </c>
      <c r="M870">
        <v>0</v>
      </c>
      <c r="U870">
        <v>575</v>
      </c>
      <c r="V870">
        <v>478</v>
      </c>
      <c r="W870">
        <v>11</v>
      </c>
      <c r="X870">
        <v>0</v>
      </c>
      <c r="Y870">
        <v>19</v>
      </c>
      <c r="Z870">
        <v>14</v>
      </c>
      <c r="AA870">
        <v>0</v>
      </c>
      <c r="AB870">
        <v>0</v>
      </c>
      <c r="AC870">
        <v>38</v>
      </c>
      <c r="AD870">
        <v>21</v>
      </c>
      <c r="AG870" t="s">
        <v>255</v>
      </c>
      <c r="AH870" t="s">
        <v>435</v>
      </c>
      <c r="AI870">
        <v>229</v>
      </c>
      <c r="AJ870">
        <v>88</v>
      </c>
      <c r="AK870">
        <v>74</v>
      </c>
      <c r="AL870">
        <v>15</v>
      </c>
      <c r="AM870">
        <v>5</v>
      </c>
      <c r="AN870" t="s">
        <v>49</v>
      </c>
      <c r="AO870">
        <v>0.83130434782608698</v>
      </c>
      <c r="AP870">
        <v>134</v>
      </c>
    </row>
    <row r="871" spans="1:42" x14ac:dyDescent="0.35">
      <c r="A871">
        <v>97331</v>
      </c>
      <c r="B871">
        <v>8619</v>
      </c>
      <c r="C871">
        <v>950360</v>
      </c>
      <c r="D871">
        <v>25507</v>
      </c>
      <c r="E871" s="147">
        <v>44207</v>
      </c>
      <c r="F871" t="s">
        <v>553</v>
      </c>
      <c r="G871" t="s">
        <v>221</v>
      </c>
      <c r="H871" s="147">
        <v>44209</v>
      </c>
      <c r="I871">
        <v>7</v>
      </c>
      <c r="J871" t="s">
        <v>200</v>
      </c>
      <c r="L871">
        <v>0</v>
      </c>
      <c r="M871">
        <v>0</v>
      </c>
      <c r="U871">
        <v>912</v>
      </c>
      <c r="V871">
        <v>863</v>
      </c>
      <c r="W871">
        <v>1</v>
      </c>
      <c r="X871">
        <v>0</v>
      </c>
      <c r="Y871">
        <v>107</v>
      </c>
      <c r="Z871">
        <v>87</v>
      </c>
      <c r="AA871">
        <v>0</v>
      </c>
      <c r="AB871">
        <v>0</v>
      </c>
      <c r="AC871">
        <v>5</v>
      </c>
      <c r="AD871">
        <v>5</v>
      </c>
      <c r="AG871" t="s">
        <v>1</v>
      </c>
      <c r="AH871" t="s">
        <v>435</v>
      </c>
      <c r="AI871">
        <v>398</v>
      </c>
      <c r="AJ871">
        <v>111</v>
      </c>
      <c r="AK871">
        <v>179</v>
      </c>
      <c r="AL871">
        <v>30</v>
      </c>
      <c r="AM871">
        <v>20</v>
      </c>
      <c r="AN871" t="s">
        <v>49</v>
      </c>
      <c r="AO871">
        <v>0.94627192982456143</v>
      </c>
      <c r="AP871">
        <v>191</v>
      </c>
    </row>
    <row r="872" spans="1:42" x14ac:dyDescent="0.35">
      <c r="A872">
        <v>97383</v>
      </c>
      <c r="B872">
        <v>8619</v>
      </c>
      <c r="C872">
        <v>950412</v>
      </c>
      <c r="D872">
        <v>402</v>
      </c>
      <c r="E872" s="147">
        <v>44207</v>
      </c>
      <c r="F872" t="s">
        <v>570</v>
      </c>
      <c r="G872" t="s">
        <v>72</v>
      </c>
      <c r="H872" s="147">
        <v>44209</v>
      </c>
      <c r="I872">
        <v>7</v>
      </c>
      <c r="J872" t="s">
        <v>200</v>
      </c>
      <c r="L872">
        <v>0</v>
      </c>
      <c r="M872">
        <v>0</v>
      </c>
      <c r="U872">
        <v>572</v>
      </c>
      <c r="V872">
        <v>479</v>
      </c>
      <c r="W872">
        <v>11</v>
      </c>
      <c r="X872">
        <v>2</v>
      </c>
      <c r="Y872">
        <v>19</v>
      </c>
      <c r="Z872">
        <v>14</v>
      </c>
      <c r="AA872">
        <v>0</v>
      </c>
      <c r="AB872">
        <v>0</v>
      </c>
      <c r="AC872">
        <v>38</v>
      </c>
      <c r="AD872">
        <v>23</v>
      </c>
      <c r="AG872" t="s">
        <v>255</v>
      </c>
      <c r="AH872" t="s">
        <v>435</v>
      </c>
      <c r="AI872">
        <v>230</v>
      </c>
      <c r="AJ872">
        <v>82</v>
      </c>
      <c r="AK872">
        <v>70</v>
      </c>
      <c r="AL872">
        <v>8</v>
      </c>
      <c r="AM872">
        <v>2</v>
      </c>
      <c r="AN872" t="s">
        <v>49</v>
      </c>
      <c r="AO872">
        <v>0.83741258741258739</v>
      </c>
      <c r="AP872">
        <v>129</v>
      </c>
    </row>
    <row r="873" spans="1:42" x14ac:dyDescent="0.35">
      <c r="A873">
        <v>97408</v>
      </c>
      <c r="B873">
        <v>8619</v>
      </c>
      <c r="C873">
        <v>950437</v>
      </c>
      <c r="D873">
        <v>406</v>
      </c>
      <c r="E873" s="147">
        <v>44207</v>
      </c>
      <c r="F873" t="s">
        <v>522</v>
      </c>
      <c r="G873" t="s">
        <v>98</v>
      </c>
      <c r="H873" s="147">
        <v>44209</v>
      </c>
      <c r="I873">
        <v>7</v>
      </c>
      <c r="J873" t="s">
        <v>200</v>
      </c>
      <c r="L873">
        <v>0</v>
      </c>
      <c r="M873">
        <v>0</v>
      </c>
      <c r="U873">
        <v>738</v>
      </c>
      <c r="V873">
        <v>610</v>
      </c>
      <c r="W873">
        <v>1</v>
      </c>
      <c r="X873">
        <v>0</v>
      </c>
      <c r="Y873">
        <v>37</v>
      </c>
      <c r="Z873">
        <v>37</v>
      </c>
      <c r="AA873">
        <v>0</v>
      </c>
      <c r="AB873">
        <v>0</v>
      </c>
      <c r="AC873">
        <v>4</v>
      </c>
      <c r="AD873">
        <v>0</v>
      </c>
      <c r="AG873" t="s">
        <v>223</v>
      </c>
      <c r="AH873" t="s">
        <v>435</v>
      </c>
      <c r="AI873">
        <v>253</v>
      </c>
      <c r="AJ873">
        <v>72</v>
      </c>
      <c r="AK873">
        <v>87</v>
      </c>
      <c r="AL873">
        <v>6</v>
      </c>
      <c r="AM873">
        <v>1</v>
      </c>
      <c r="AN873" t="s">
        <v>49</v>
      </c>
      <c r="AO873">
        <v>0.82655826558265577</v>
      </c>
      <c r="AP873">
        <v>111</v>
      </c>
    </row>
    <row r="874" spans="1:42" x14ac:dyDescent="0.35">
      <c r="A874">
        <v>97458</v>
      </c>
      <c r="B874">
        <v>8619</v>
      </c>
      <c r="C874">
        <v>950487</v>
      </c>
      <c r="D874">
        <v>25507</v>
      </c>
      <c r="E874" s="147">
        <v>44207</v>
      </c>
      <c r="F874" t="s">
        <v>553</v>
      </c>
      <c r="G874" t="s">
        <v>221</v>
      </c>
      <c r="H874" s="147">
        <v>44210</v>
      </c>
      <c r="I874">
        <v>7</v>
      </c>
      <c r="J874" t="s">
        <v>198</v>
      </c>
      <c r="L874">
        <v>0</v>
      </c>
      <c r="M874">
        <v>0</v>
      </c>
      <c r="U874">
        <v>919</v>
      </c>
      <c r="V874">
        <v>832</v>
      </c>
      <c r="W874">
        <v>3</v>
      </c>
      <c r="X874">
        <v>1</v>
      </c>
      <c r="Y874">
        <v>104</v>
      </c>
      <c r="Z874">
        <v>101</v>
      </c>
      <c r="AA874">
        <v>0</v>
      </c>
      <c r="AB874">
        <v>0</v>
      </c>
      <c r="AC874">
        <v>5</v>
      </c>
      <c r="AD874">
        <v>5</v>
      </c>
      <c r="AG874" t="s">
        <v>1</v>
      </c>
      <c r="AH874" t="s">
        <v>435</v>
      </c>
      <c r="AI874">
        <v>377</v>
      </c>
      <c r="AJ874">
        <v>107</v>
      </c>
      <c r="AK874">
        <v>167</v>
      </c>
      <c r="AL874">
        <v>21</v>
      </c>
      <c r="AM874">
        <v>1</v>
      </c>
      <c r="AN874" t="s">
        <v>49</v>
      </c>
      <c r="AO874">
        <v>0.90533188248095753</v>
      </c>
      <c r="AP874">
        <v>167</v>
      </c>
    </row>
    <row r="875" spans="1:42" x14ac:dyDescent="0.35">
      <c r="A875">
        <v>97515</v>
      </c>
      <c r="B875">
        <v>8619</v>
      </c>
      <c r="C875">
        <v>950544</v>
      </c>
      <c r="D875">
        <v>349</v>
      </c>
      <c r="E875" s="147">
        <v>44207</v>
      </c>
      <c r="F875" t="s">
        <v>502</v>
      </c>
      <c r="G875" t="s">
        <v>261</v>
      </c>
      <c r="H875" s="147">
        <v>44210</v>
      </c>
      <c r="I875">
        <v>7</v>
      </c>
      <c r="J875" t="s">
        <v>198</v>
      </c>
      <c r="L875">
        <v>0</v>
      </c>
      <c r="M875">
        <v>0</v>
      </c>
      <c r="U875">
        <v>1601</v>
      </c>
      <c r="V875">
        <v>1418</v>
      </c>
      <c r="W875">
        <v>1</v>
      </c>
      <c r="X875">
        <v>1</v>
      </c>
      <c r="Y875">
        <v>65</v>
      </c>
      <c r="Z875">
        <v>53</v>
      </c>
      <c r="AA875">
        <v>0</v>
      </c>
      <c r="AB875">
        <v>0</v>
      </c>
      <c r="AC875">
        <v>0</v>
      </c>
      <c r="AD875">
        <v>0</v>
      </c>
      <c r="AG875" t="s">
        <v>255</v>
      </c>
      <c r="AH875" t="s">
        <v>435</v>
      </c>
      <c r="AI875">
        <v>767</v>
      </c>
      <c r="AJ875">
        <v>316</v>
      </c>
      <c r="AK875">
        <v>164</v>
      </c>
      <c r="AL875">
        <v>5</v>
      </c>
      <c r="AM875">
        <v>8</v>
      </c>
      <c r="AN875" t="s">
        <v>49</v>
      </c>
      <c r="AO875">
        <v>0.88569643972517176</v>
      </c>
      <c r="AP875">
        <v>491</v>
      </c>
    </row>
    <row r="876" spans="1:42" x14ac:dyDescent="0.35">
      <c r="A876">
        <v>97769</v>
      </c>
      <c r="B876">
        <v>8619</v>
      </c>
      <c r="C876">
        <v>950798</v>
      </c>
      <c r="D876">
        <v>349</v>
      </c>
      <c r="E876" s="147">
        <v>44207</v>
      </c>
      <c r="F876" t="s">
        <v>502</v>
      </c>
      <c r="G876" t="s">
        <v>261</v>
      </c>
      <c r="H876" s="147">
        <v>44212</v>
      </c>
      <c r="I876">
        <v>7</v>
      </c>
      <c r="J876" t="s">
        <v>196</v>
      </c>
      <c r="L876">
        <v>0</v>
      </c>
      <c r="M876">
        <v>0</v>
      </c>
      <c r="U876">
        <v>1647</v>
      </c>
      <c r="V876">
        <v>1385</v>
      </c>
      <c r="W876">
        <v>1</v>
      </c>
      <c r="X876">
        <v>1</v>
      </c>
      <c r="Y876">
        <v>65</v>
      </c>
      <c r="Z876">
        <v>54</v>
      </c>
      <c r="AA876">
        <v>0</v>
      </c>
      <c r="AB876">
        <v>0</v>
      </c>
      <c r="AC876">
        <v>0</v>
      </c>
      <c r="AD876">
        <v>0</v>
      </c>
      <c r="AG876" t="s">
        <v>255</v>
      </c>
      <c r="AH876" t="s">
        <v>435</v>
      </c>
      <c r="AI876">
        <v>739</v>
      </c>
      <c r="AJ876">
        <v>289</v>
      </c>
      <c r="AK876">
        <v>185</v>
      </c>
      <c r="AL876">
        <v>3</v>
      </c>
      <c r="AM876">
        <v>5</v>
      </c>
      <c r="AN876" t="s">
        <v>49</v>
      </c>
      <c r="AO876">
        <v>0.84092289010321797</v>
      </c>
      <c r="AP876">
        <v>444</v>
      </c>
    </row>
    <row r="877" spans="1:42" x14ac:dyDescent="0.35">
      <c r="A877">
        <v>97107</v>
      </c>
      <c r="B877">
        <v>8619</v>
      </c>
      <c r="C877">
        <v>950136</v>
      </c>
      <c r="D877">
        <v>309</v>
      </c>
      <c r="E877" s="147">
        <v>44207</v>
      </c>
      <c r="F877" t="s">
        <v>547</v>
      </c>
      <c r="G877" t="s">
        <v>73</v>
      </c>
      <c r="H877" s="147">
        <v>44207</v>
      </c>
      <c r="I877">
        <v>7</v>
      </c>
      <c r="J877" t="s">
        <v>195</v>
      </c>
      <c r="L877">
        <v>0</v>
      </c>
      <c r="M877">
        <v>0</v>
      </c>
      <c r="U877">
        <v>557</v>
      </c>
      <c r="V877">
        <v>510</v>
      </c>
      <c r="W877">
        <v>4</v>
      </c>
      <c r="X877">
        <v>2</v>
      </c>
      <c r="Y877">
        <v>15</v>
      </c>
      <c r="Z877">
        <v>15</v>
      </c>
      <c r="AA877">
        <v>0</v>
      </c>
      <c r="AB877">
        <v>0</v>
      </c>
      <c r="AC877">
        <v>9</v>
      </c>
      <c r="AD877">
        <v>7</v>
      </c>
      <c r="AG877" t="s">
        <v>258</v>
      </c>
      <c r="AH877" t="s">
        <v>435</v>
      </c>
      <c r="AI877">
        <v>209</v>
      </c>
      <c r="AJ877">
        <v>57</v>
      </c>
      <c r="AK877">
        <v>92</v>
      </c>
      <c r="AL877">
        <v>0</v>
      </c>
      <c r="AM877">
        <v>0</v>
      </c>
      <c r="AN877" t="s">
        <v>49</v>
      </c>
      <c r="AO877">
        <v>0.91561938958707356</v>
      </c>
      <c r="AP877">
        <v>112</v>
      </c>
    </row>
    <row r="878" spans="1:42" x14ac:dyDescent="0.35">
      <c r="A878">
        <v>97234</v>
      </c>
      <c r="B878">
        <v>8619</v>
      </c>
      <c r="C878">
        <v>950263</v>
      </c>
      <c r="D878">
        <v>309</v>
      </c>
      <c r="E878" s="147">
        <v>44207</v>
      </c>
      <c r="F878" t="s">
        <v>547</v>
      </c>
      <c r="G878" t="s">
        <v>73</v>
      </c>
      <c r="H878" s="147">
        <v>44208</v>
      </c>
      <c r="I878">
        <v>7</v>
      </c>
      <c r="J878" t="s">
        <v>199</v>
      </c>
      <c r="L878">
        <v>0</v>
      </c>
      <c r="M878">
        <v>0</v>
      </c>
      <c r="U878">
        <v>568</v>
      </c>
      <c r="V878">
        <v>531</v>
      </c>
      <c r="W878">
        <v>4</v>
      </c>
      <c r="X878">
        <v>2</v>
      </c>
      <c r="Y878">
        <v>18</v>
      </c>
      <c r="Z878">
        <v>18</v>
      </c>
      <c r="AA878">
        <v>0</v>
      </c>
      <c r="AB878">
        <v>0</v>
      </c>
      <c r="AC878">
        <v>8</v>
      </c>
      <c r="AD878">
        <v>6</v>
      </c>
      <c r="AG878" t="s">
        <v>258</v>
      </c>
      <c r="AH878" t="s">
        <v>435</v>
      </c>
      <c r="AI878">
        <v>214</v>
      </c>
      <c r="AJ878">
        <v>54</v>
      </c>
      <c r="AK878">
        <v>90</v>
      </c>
      <c r="AL878">
        <v>0</v>
      </c>
      <c r="AM878">
        <v>0</v>
      </c>
      <c r="AN878" t="s">
        <v>49</v>
      </c>
      <c r="AO878">
        <v>0.9348591549295775</v>
      </c>
      <c r="AP878">
        <v>109</v>
      </c>
    </row>
    <row r="879" spans="1:42" x14ac:dyDescent="0.35">
      <c r="A879">
        <v>97361</v>
      </c>
      <c r="B879">
        <v>8619</v>
      </c>
      <c r="C879">
        <v>950390</v>
      </c>
      <c r="D879">
        <v>309</v>
      </c>
      <c r="E879" s="147">
        <v>44207</v>
      </c>
      <c r="F879" t="s">
        <v>547</v>
      </c>
      <c r="G879" t="s">
        <v>73</v>
      </c>
      <c r="H879" s="147">
        <v>44209</v>
      </c>
      <c r="I879">
        <v>7</v>
      </c>
      <c r="J879" t="s">
        <v>200</v>
      </c>
      <c r="L879">
        <v>0</v>
      </c>
      <c r="M879">
        <v>0</v>
      </c>
      <c r="U879">
        <v>565</v>
      </c>
      <c r="V879">
        <v>521</v>
      </c>
      <c r="W879">
        <v>4</v>
      </c>
      <c r="X879">
        <v>2</v>
      </c>
      <c r="Y879">
        <v>15</v>
      </c>
      <c r="Z879">
        <v>15</v>
      </c>
      <c r="AA879">
        <v>0</v>
      </c>
      <c r="AB879">
        <v>0</v>
      </c>
      <c r="AC879">
        <v>9</v>
      </c>
      <c r="AD879">
        <v>6</v>
      </c>
      <c r="AG879" t="s">
        <v>258</v>
      </c>
      <c r="AH879" t="s">
        <v>435</v>
      </c>
      <c r="AI879">
        <v>215</v>
      </c>
      <c r="AJ879">
        <v>54</v>
      </c>
      <c r="AK879">
        <v>106</v>
      </c>
      <c r="AL879">
        <v>2</v>
      </c>
      <c r="AM879">
        <v>0</v>
      </c>
      <c r="AN879" t="s">
        <v>49</v>
      </c>
      <c r="AO879">
        <v>0.92212389380530968</v>
      </c>
      <c r="AP879">
        <v>110</v>
      </c>
    </row>
    <row r="880" spans="1:42" x14ac:dyDescent="0.35">
      <c r="A880">
        <v>97456</v>
      </c>
      <c r="B880">
        <v>8619</v>
      </c>
      <c r="C880">
        <v>950485</v>
      </c>
      <c r="D880">
        <v>316</v>
      </c>
      <c r="E880" s="147">
        <v>44207</v>
      </c>
      <c r="F880" t="s">
        <v>529</v>
      </c>
      <c r="G880" t="s">
        <v>106</v>
      </c>
      <c r="H880" s="147">
        <v>44210</v>
      </c>
      <c r="I880">
        <v>7</v>
      </c>
      <c r="J880" t="s">
        <v>198</v>
      </c>
      <c r="L880">
        <v>0</v>
      </c>
      <c r="M880">
        <v>0</v>
      </c>
      <c r="U880">
        <v>373</v>
      </c>
      <c r="V880">
        <v>336</v>
      </c>
      <c r="W880">
        <v>6</v>
      </c>
      <c r="X880">
        <v>1</v>
      </c>
      <c r="Y880">
        <v>30</v>
      </c>
      <c r="Z880">
        <v>26</v>
      </c>
      <c r="AA880">
        <v>0</v>
      </c>
      <c r="AB880">
        <v>0</v>
      </c>
      <c r="AC880">
        <v>6</v>
      </c>
      <c r="AD880">
        <v>6</v>
      </c>
      <c r="AG880" t="s">
        <v>1</v>
      </c>
      <c r="AH880" t="s">
        <v>435</v>
      </c>
      <c r="AI880">
        <v>154</v>
      </c>
      <c r="AJ880">
        <v>39</v>
      </c>
      <c r="AK880">
        <v>79</v>
      </c>
      <c r="AL880">
        <v>0</v>
      </c>
      <c r="AM880">
        <v>0</v>
      </c>
      <c r="AN880" t="s">
        <v>49</v>
      </c>
      <c r="AO880">
        <v>0.90080428954423597</v>
      </c>
      <c r="AP880">
        <v>66</v>
      </c>
    </row>
    <row r="881" spans="1:42" x14ac:dyDescent="0.35">
      <c r="A881">
        <v>97488</v>
      </c>
      <c r="B881">
        <v>8619</v>
      </c>
      <c r="C881">
        <v>950517</v>
      </c>
      <c r="D881">
        <v>309</v>
      </c>
      <c r="E881" s="147">
        <v>44207</v>
      </c>
      <c r="F881" t="s">
        <v>547</v>
      </c>
      <c r="G881" t="s">
        <v>73</v>
      </c>
      <c r="H881" s="147">
        <v>44210</v>
      </c>
      <c r="I881">
        <v>7</v>
      </c>
      <c r="J881" t="s">
        <v>198</v>
      </c>
      <c r="L881">
        <v>0</v>
      </c>
      <c r="M881">
        <v>0</v>
      </c>
      <c r="U881">
        <v>572</v>
      </c>
      <c r="V881">
        <v>529</v>
      </c>
      <c r="W881">
        <v>4</v>
      </c>
      <c r="X881">
        <v>2</v>
      </c>
      <c r="Y881">
        <v>18</v>
      </c>
      <c r="Z881">
        <v>17</v>
      </c>
      <c r="AA881">
        <v>0</v>
      </c>
      <c r="AB881">
        <v>0</v>
      </c>
      <c r="AC881">
        <v>10</v>
      </c>
      <c r="AD881">
        <v>7</v>
      </c>
      <c r="AG881" t="s">
        <v>258</v>
      </c>
      <c r="AH881" t="s">
        <v>435</v>
      </c>
      <c r="AI881">
        <v>223</v>
      </c>
      <c r="AJ881">
        <v>53</v>
      </c>
      <c r="AK881">
        <v>77</v>
      </c>
      <c r="AL881">
        <v>0</v>
      </c>
      <c r="AM881">
        <v>0</v>
      </c>
      <c r="AN881" t="s">
        <v>49</v>
      </c>
      <c r="AO881">
        <v>0.92482517482517479</v>
      </c>
      <c r="AP881">
        <v>109</v>
      </c>
    </row>
    <row r="882" spans="1:42" x14ac:dyDescent="0.35">
      <c r="A882">
        <v>97585</v>
      </c>
      <c r="B882">
        <v>8619</v>
      </c>
      <c r="C882">
        <v>950614</v>
      </c>
      <c r="D882">
        <v>25507</v>
      </c>
      <c r="E882" s="147">
        <v>44207</v>
      </c>
      <c r="F882" t="s">
        <v>553</v>
      </c>
      <c r="G882" t="s">
        <v>221</v>
      </c>
      <c r="H882" s="147">
        <v>44211</v>
      </c>
      <c r="I882">
        <v>7</v>
      </c>
      <c r="J882" t="s">
        <v>194</v>
      </c>
      <c r="L882">
        <v>0</v>
      </c>
      <c r="M882">
        <v>0</v>
      </c>
      <c r="U882">
        <v>905</v>
      </c>
      <c r="V882">
        <v>825</v>
      </c>
      <c r="W882">
        <v>2</v>
      </c>
      <c r="X882">
        <v>1</v>
      </c>
      <c r="Y882">
        <v>106</v>
      </c>
      <c r="Z882">
        <v>103</v>
      </c>
      <c r="AA882">
        <v>0</v>
      </c>
      <c r="AB882">
        <v>0</v>
      </c>
      <c r="AC882">
        <v>5</v>
      </c>
      <c r="AD882">
        <v>5</v>
      </c>
      <c r="AG882" t="s">
        <v>1</v>
      </c>
      <c r="AH882" t="s">
        <v>435</v>
      </c>
      <c r="AI882">
        <v>368</v>
      </c>
      <c r="AJ882">
        <v>96</v>
      </c>
      <c r="AK882">
        <v>154</v>
      </c>
      <c r="AL882">
        <v>13</v>
      </c>
      <c r="AM882">
        <v>0</v>
      </c>
      <c r="AN882" t="s">
        <v>49</v>
      </c>
      <c r="AO882">
        <v>0.91160220994475138</v>
      </c>
      <c r="AP882">
        <v>157</v>
      </c>
    </row>
    <row r="883" spans="1:42" x14ac:dyDescent="0.35">
      <c r="A883">
        <v>97615</v>
      </c>
      <c r="B883">
        <v>8619</v>
      </c>
      <c r="C883">
        <v>950644</v>
      </c>
      <c r="D883">
        <v>309</v>
      </c>
      <c r="E883" s="147">
        <v>44207</v>
      </c>
      <c r="F883" t="s">
        <v>547</v>
      </c>
      <c r="G883" t="s">
        <v>73</v>
      </c>
      <c r="H883" s="147">
        <v>44211</v>
      </c>
      <c r="I883">
        <v>7</v>
      </c>
      <c r="J883" t="s">
        <v>194</v>
      </c>
      <c r="L883">
        <v>0</v>
      </c>
      <c r="M883">
        <v>0</v>
      </c>
      <c r="U883">
        <v>568</v>
      </c>
      <c r="V883">
        <v>537</v>
      </c>
      <c r="W883">
        <v>4</v>
      </c>
      <c r="X883">
        <v>2</v>
      </c>
      <c r="Y883">
        <v>18</v>
      </c>
      <c r="Z883">
        <v>18</v>
      </c>
      <c r="AA883">
        <v>0</v>
      </c>
      <c r="AB883">
        <v>0</v>
      </c>
      <c r="AC883">
        <v>10</v>
      </c>
      <c r="AD883">
        <v>7</v>
      </c>
      <c r="AG883" t="s">
        <v>258</v>
      </c>
      <c r="AH883" t="s">
        <v>435</v>
      </c>
      <c r="AI883">
        <v>235</v>
      </c>
      <c r="AJ883">
        <v>55</v>
      </c>
      <c r="AK883">
        <v>107</v>
      </c>
      <c r="AL883">
        <v>0</v>
      </c>
      <c r="AM883">
        <v>0</v>
      </c>
      <c r="AN883" t="s">
        <v>49</v>
      </c>
      <c r="AO883">
        <v>0.94542253521126762</v>
      </c>
      <c r="AP883">
        <v>111</v>
      </c>
    </row>
    <row r="884" spans="1:42" x14ac:dyDescent="0.35">
      <c r="A884">
        <v>97887</v>
      </c>
      <c r="B884">
        <v>8619</v>
      </c>
      <c r="C884">
        <v>950916</v>
      </c>
      <c r="D884">
        <v>355</v>
      </c>
      <c r="E884" s="147">
        <v>44207</v>
      </c>
      <c r="F884" t="s">
        <v>535</v>
      </c>
      <c r="G884" t="s">
        <v>152</v>
      </c>
      <c r="H884" s="147">
        <v>44213</v>
      </c>
      <c r="I884">
        <v>7</v>
      </c>
      <c r="J884" t="s">
        <v>197</v>
      </c>
      <c r="L884">
        <v>0</v>
      </c>
      <c r="M884">
        <v>0</v>
      </c>
      <c r="U884">
        <v>433</v>
      </c>
      <c r="V884">
        <v>375</v>
      </c>
      <c r="W884">
        <v>18</v>
      </c>
      <c r="X884">
        <v>2</v>
      </c>
      <c r="Y884">
        <v>20</v>
      </c>
      <c r="Z884">
        <v>13</v>
      </c>
      <c r="AA884">
        <v>0</v>
      </c>
      <c r="AB884">
        <v>0</v>
      </c>
      <c r="AC884">
        <v>14</v>
      </c>
      <c r="AD884">
        <v>9</v>
      </c>
      <c r="AG884" t="s">
        <v>258</v>
      </c>
      <c r="AH884" t="s">
        <v>435</v>
      </c>
      <c r="AI884">
        <v>194</v>
      </c>
      <c r="AJ884">
        <v>44</v>
      </c>
      <c r="AK884">
        <v>63</v>
      </c>
      <c r="AL884">
        <v>3</v>
      </c>
      <c r="AM884">
        <v>0</v>
      </c>
      <c r="AN884" t="s">
        <v>49</v>
      </c>
      <c r="AO884">
        <v>0.86605080831408776</v>
      </c>
      <c r="AP884">
        <v>92</v>
      </c>
    </row>
    <row r="885" spans="1:42" x14ac:dyDescent="0.35">
      <c r="A885">
        <v>97891</v>
      </c>
      <c r="B885">
        <v>8619</v>
      </c>
      <c r="C885">
        <v>950920</v>
      </c>
      <c r="D885">
        <v>402</v>
      </c>
      <c r="E885" s="147">
        <v>44207</v>
      </c>
      <c r="F885" t="s">
        <v>570</v>
      </c>
      <c r="G885" t="s">
        <v>72</v>
      </c>
      <c r="H885" s="147">
        <v>44213</v>
      </c>
      <c r="I885">
        <v>7</v>
      </c>
      <c r="J885" t="s">
        <v>197</v>
      </c>
      <c r="L885">
        <v>0</v>
      </c>
      <c r="M885">
        <v>0</v>
      </c>
      <c r="U885">
        <v>570</v>
      </c>
      <c r="V885">
        <v>462</v>
      </c>
      <c r="W885">
        <v>7</v>
      </c>
      <c r="X885">
        <v>0</v>
      </c>
      <c r="Y885">
        <v>19</v>
      </c>
      <c r="Z885">
        <v>16</v>
      </c>
      <c r="AA885">
        <v>0</v>
      </c>
      <c r="AB885">
        <v>0</v>
      </c>
      <c r="AC885">
        <v>38</v>
      </c>
      <c r="AD885">
        <v>30</v>
      </c>
      <c r="AG885" t="s">
        <v>255</v>
      </c>
      <c r="AH885" t="s">
        <v>435</v>
      </c>
      <c r="AI885">
        <v>219</v>
      </c>
      <c r="AJ885">
        <v>70</v>
      </c>
      <c r="AK885">
        <v>67</v>
      </c>
      <c r="AL885">
        <v>11</v>
      </c>
      <c r="AM885">
        <v>0</v>
      </c>
      <c r="AN885" t="s">
        <v>49</v>
      </c>
      <c r="AO885">
        <v>0.81052631578947365</v>
      </c>
      <c r="AP885">
        <v>119</v>
      </c>
    </row>
    <row r="886" spans="1:42" x14ac:dyDescent="0.35">
      <c r="A886">
        <v>97281</v>
      </c>
      <c r="B886">
        <v>8619</v>
      </c>
      <c r="C886">
        <v>950310</v>
      </c>
      <c r="D886">
        <v>406</v>
      </c>
      <c r="E886" s="147">
        <v>44207</v>
      </c>
      <c r="F886" t="s">
        <v>522</v>
      </c>
      <c r="G886" t="s">
        <v>98</v>
      </c>
      <c r="H886" s="147">
        <v>44208</v>
      </c>
      <c r="I886">
        <v>7</v>
      </c>
      <c r="J886" t="s">
        <v>199</v>
      </c>
      <c r="L886">
        <v>0</v>
      </c>
      <c r="M886">
        <v>0</v>
      </c>
      <c r="U886">
        <v>737</v>
      </c>
      <c r="V886">
        <v>615</v>
      </c>
      <c r="W886">
        <v>6</v>
      </c>
      <c r="X886">
        <v>0</v>
      </c>
      <c r="Y886">
        <v>35</v>
      </c>
      <c r="Z886">
        <v>34</v>
      </c>
      <c r="AA886">
        <v>0</v>
      </c>
      <c r="AB886">
        <v>0</v>
      </c>
      <c r="AC886">
        <v>4</v>
      </c>
      <c r="AD886">
        <v>0</v>
      </c>
      <c r="AG886" t="s">
        <v>223</v>
      </c>
      <c r="AH886" t="s">
        <v>435</v>
      </c>
      <c r="AI886">
        <v>270</v>
      </c>
      <c r="AJ886">
        <v>67</v>
      </c>
      <c r="AK886">
        <v>120</v>
      </c>
      <c r="AL886">
        <v>6</v>
      </c>
      <c r="AM886">
        <v>0</v>
      </c>
      <c r="AN886" t="s">
        <v>49</v>
      </c>
      <c r="AO886">
        <v>0.83446404341926728</v>
      </c>
      <c r="AP886">
        <v>116</v>
      </c>
    </row>
    <row r="887" spans="1:42" x14ac:dyDescent="0.35">
      <c r="A887">
        <v>97156</v>
      </c>
      <c r="B887">
        <v>8619</v>
      </c>
      <c r="C887">
        <v>950185</v>
      </c>
      <c r="D887">
        <v>480</v>
      </c>
      <c r="E887" s="147">
        <v>44207</v>
      </c>
      <c r="F887" t="s">
        <v>507</v>
      </c>
      <c r="G887" t="s">
        <v>110</v>
      </c>
      <c r="H887" s="147">
        <v>44207</v>
      </c>
      <c r="I887">
        <v>7</v>
      </c>
      <c r="J887" t="s">
        <v>195</v>
      </c>
      <c r="L887">
        <v>0</v>
      </c>
      <c r="M887">
        <v>0</v>
      </c>
      <c r="U887">
        <v>717</v>
      </c>
      <c r="V887">
        <v>686</v>
      </c>
      <c r="W887">
        <v>6</v>
      </c>
      <c r="X887">
        <v>0</v>
      </c>
      <c r="Y887">
        <v>29</v>
      </c>
      <c r="Z887">
        <v>29</v>
      </c>
      <c r="AA887">
        <v>0</v>
      </c>
      <c r="AB887">
        <v>0</v>
      </c>
      <c r="AC887">
        <v>0</v>
      </c>
      <c r="AD887">
        <v>0</v>
      </c>
      <c r="AG887" t="s">
        <v>223</v>
      </c>
      <c r="AH887" t="s">
        <v>435</v>
      </c>
      <c r="AI887">
        <v>357</v>
      </c>
      <c r="AJ887">
        <v>119</v>
      </c>
      <c r="AK887">
        <v>113</v>
      </c>
      <c r="AL887">
        <v>13</v>
      </c>
      <c r="AM887">
        <v>0</v>
      </c>
      <c r="AN887" t="s">
        <v>49</v>
      </c>
      <c r="AO887">
        <v>0.95676429567642962</v>
      </c>
      <c r="AP887">
        <v>197</v>
      </c>
    </row>
    <row r="888" spans="1:42" x14ac:dyDescent="0.35">
      <c r="A888">
        <v>97283</v>
      </c>
      <c r="B888">
        <v>8619</v>
      </c>
      <c r="C888">
        <v>950312</v>
      </c>
      <c r="D888">
        <v>480</v>
      </c>
      <c r="E888" s="147">
        <v>44207</v>
      </c>
      <c r="F888" t="s">
        <v>507</v>
      </c>
      <c r="G888" t="s">
        <v>110</v>
      </c>
      <c r="H888" s="147">
        <v>44208</v>
      </c>
      <c r="I888">
        <v>7</v>
      </c>
      <c r="J888" t="s">
        <v>199</v>
      </c>
      <c r="L888">
        <v>0</v>
      </c>
      <c r="M888">
        <v>0</v>
      </c>
      <c r="U888">
        <v>718</v>
      </c>
      <c r="V888">
        <v>689</v>
      </c>
      <c r="W888">
        <v>6</v>
      </c>
      <c r="X888">
        <v>1</v>
      </c>
      <c r="Y888">
        <v>33</v>
      </c>
      <c r="Z888">
        <v>33</v>
      </c>
      <c r="AA888">
        <v>0</v>
      </c>
      <c r="AB888">
        <v>0</v>
      </c>
      <c r="AC888">
        <v>0</v>
      </c>
      <c r="AD888">
        <v>0</v>
      </c>
      <c r="AG888" t="s">
        <v>223</v>
      </c>
      <c r="AH888" t="s">
        <v>435</v>
      </c>
      <c r="AI888">
        <v>351</v>
      </c>
      <c r="AJ888">
        <v>112</v>
      </c>
      <c r="AK888">
        <v>126</v>
      </c>
      <c r="AL888">
        <v>7</v>
      </c>
      <c r="AM888">
        <v>0</v>
      </c>
      <c r="AN888" t="s">
        <v>49</v>
      </c>
      <c r="AO888">
        <v>0.95961002785515326</v>
      </c>
      <c r="AP888">
        <v>191</v>
      </c>
    </row>
    <row r="889" spans="1:42" x14ac:dyDescent="0.35">
      <c r="A889">
        <v>97388</v>
      </c>
      <c r="B889">
        <v>8619</v>
      </c>
      <c r="C889">
        <v>950417</v>
      </c>
      <c r="D889">
        <v>349</v>
      </c>
      <c r="E889" s="147">
        <v>44207</v>
      </c>
      <c r="F889" t="s">
        <v>502</v>
      </c>
      <c r="G889" t="s">
        <v>261</v>
      </c>
      <c r="H889" s="147">
        <v>44209</v>
      </c>
      <c r="I889">
        <v>7</v>
      </c>
      <c r="J889" t="s">
        <v>200</v>
      </c>
      <c r="L889">
        <v>0</v>
      </c>
      <c r="M889">
        <v>0</v>
      </c>
      <c r="U889">
        <v>1601</v>
      </c>
      <c r="V889">
        <v>1421</v>
      </c>
      <c r="W889">
        <v>1</v>
      </c>
      <c r="X889">
        <v>1</v>
      </c>
      <c r="Y889">
        <v>65</v>
      </c>
      <c r="Z889">
        <v>49</v>
      </c>
      <c r="AA889">
        <v>0</v>
      </c>
      <c r="AB889">
        <v>0</v>
      </c>
      <c r="AC889">
        <v>0</v>
      </c>
      <c r="AD889">
        <v>0</v>
      </c>
      <c r="AG889" t="s">
        <v>255</v>
      </c>
      <c r="AH889" t="s">
        <v>435</v>
      </c>
      <c r="AI889">
        <v>748</v>
      </c>
      <c r="AJ889">
        <v>309</v>
      </c>
      <c r="AK889">
        <v>158</v>
      </c>
      <c r="AL889">
        <v>5</v>
      </c>
      <c r="AM889">
        <v>0</v>
      </c>
      <c r="AN889" t="s">
        <v>49</v>
      </c>
      <c r="AO889">
        <v>0.88757026858213617</v>
      </c>
      <c r="AP889">
        <v>487</v>
      </c>
    </row>
    <row r="890" spans="1:42" x14ac:dyDescent="0.35">
      <c r="A890">
        <v>97410</v>
      </c>
      <c r="B890">
        <v>8619</v>
      </c>
      <c r="C890">
        <v>950439</v>
      </c>
      <c r="D890">
        <v>480</v>
      </c>
      <c r="E890" s="147">
        <v>44207</v>
      </c>
      <c r="F890" t="s">
        <v>507</v>
      </c>
      <c r="G890" t="s">
        <v>110</v>
      </c>
      <c r="H890" s="147">
        <v>44209</v>
      </c>
      <c r="I890">
        <v>7</v>
      </c>
      <c r="J890" t="s">
        <v>200</v>
      </c>
      <c r="L890">
        <v>0</v>
      </c>
      <c r="M890">
        <v>0</v>
      </c>
      <c r="U890">
        <v>708</v>
      </c>
      <c r="V890">
        <v>685</v>
      </c>
      <c r="W890">
        <v>6</v>
      </c>
      <c r="X890">
        <v>2</v>
      </c>
      <c r="Y890">
        <v>34</v>
      </c>
      <c r="Z890">
        <v>34</v>
      </c>
      <c r="AA890">
        <v>0</v>
      </c>
      <c r="AB890">
        <v>0</v>
      </c>
      <c r="AC890">
        <v>0</v>
      </c>
      <c r="AD890">
        <v>0</v>
      </c>
      <c r="AG890" t="s">
        <v>223</v>
      </c>
      <c r="AH890" t="s">
        <v>435</v>
      </c>
      <c r="AI890">
        <v>349</v>
      </c>
      <c r="AJ890">
        <v>107</v>
      </c>
      <c r="AK890">
        <v>112</v>
      </c>
      <c r="AL890">
        <v>4</v>
      </c>
      <c r="AM890">
        <v>0</v>
      </c>
      <c r="AN890" t="s">
        <v>49</v>
      </c>
      <c r="AO890">
        <v>0.96751412429378536</v>
      </c>
      <c r="AP890">
        <v>192</v>
      </c>
    </row>
    <row r="891" spans="1:42" x14ac:dyDescent="0.35">
      <c r="A891">
        <v>97537</v>
      </c>
      <c r="B891">
        <v>8619</v>
      </c>
      <c r="C891">
        <v>950566</v>
      </c>
      <c r="D891">
        <v>480</v>
      </c>
      <c r="E891" s="147">
        <v>44207</v>
      </c>
      <c r="F891" t="s">
        <v>507</v>
      </c>
      <c r="G891" t="s">
        <v>110</v>
      </c>
      <c r="H891" s="147">
        <v>44210</v>
      </c>
      <c r="I891">
        <v>7</v>
      </c>
      <c r="J891" t="s">
        <v>198</v>
      </c>
      <c r="L891">
        <v>0</v>
      </c>
      <c r="M891">
        <v>0</v>
      </c>
      <c r="U891">
        <v>707</v>
      </c>
      <c r="V891">
        <v>682</v>
      </c>
      <c r="W891">
        <v>6</v>
      </c>
      <c r="X891">
        <v>2</v>
      </c>
      <c r="Y891">
        <v>34</v>
      </c>
      <c r="Z891">
        <v>34</v>
      </c>
      <c r="AA891">
        <v>0</v>
      </c>
      <c r="AB891">
        <v>0</v>
      </c>
      <c r="AC891">
        <v>0</v>
      </c>
      <c r="AD891">
        <v>0</v>
      </c>
      <c r="AG891" t="s">
        <v>223</v>
      </c>
      <c r="AH891" t="s">
        <v>435</v>
      </c>
      <c r="AI891">
        <v>338</v>
      </c>
      <c r="AJ891">
        <v>100</v>
      </c>
      <c r="AK891">
        <v>97</v>
      </c>
      <c r="AL891">
        <v>5</v>
      </c>
      <c r="AM891">
        <v>0</v>
      </c>
      <c r="AN891" t="s">
        <v>49</v>
      </c>
      <c r="AO891">
        <v>0.96463932107496464</v>
      </c>
      <c r="AP891">
        <v>177</v>
      </c>
    </row>
    <row r="892" spans="1:42" x14ac:dyDescent="0.35">
      <c r="A892">
        <v>97642</v>
      </c>
      <c r="B892">
        <v>8619</v>
      </c>
      <c r="C892">
        <v>950671</v>
      </c>
      <c r="D892">
        <v>349</v>
      </c>
      <c r="E892" s="147">
        <v>44207</v>
      </c>
      <c r="F892" t="s">
        <v>502</v>
      </c>
      <c r="G892" t="s">
        <v>261</v>
      </c>
      <c r="H892" s="147">
        <v>44211</v>
      </c>
      <c r="I892">
        <v>7</v>
      </c>
      <c r="J892" t="s">
        <v>194</v>
      </c>
      <c r="L892">
        <v>0</v>
      </c>
      <c r="M892">
        <v>0</v>
      </c>
      <c r="U892">
        <v>1646</v>
      </c>
      <c r="V892">
        <v>1406</v>
      </c>
      <c r="W892">
        <v>1</v>
      </c>
      <c r="X892">
        <v>1</v>
      </c>
      <c r="Y892">
        <v>65</v>
      </c>
      <c r="Z892">
        <v>55</v>
      </c>
      <c r="AA892">
        <v>0</v>
      </c>
      <c r="AB892">
        <v>0</v>
      </c>
      <c r="AC892">
        <v>0</v>
      </c>
      <c r="AD892">
        <v>0</v>
      </c>
      <c r="AG892" t="s">
        <v>255</v>
      </c>
      <c r="AH892" t="s">
        <v>435</v>
      </c>
      <c r="AI892">
        <v>753</v>
      </c>
      <c r="AJ892">
        <v>317</v>
      </c>
      <c r="AK892">
        <v>157</v>
      </c>
      <c r="AL892">
        <v>4</v>
      </c>
      <c r="AM892">
        <v>0</v>
      </c>
      <c r="AN892" t="s">
        <v>49</v>
      </c>
      <c r="AO892">
        <v>0.85419198055893075</v>
      </c>
      <c r="AP892">
        <v>481</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EC96"/>
  <sheetViews>
    <sheetView topLeftCell="A3" zoomScaleNormal="100" workbookViewId="0">
      <selection activeCell="CO31" sqref="CO31"/>
    </sheetView>
  </sheetViews>
  <sheetFormatPr defaultRowHeight="14.5" x14ac:dyDescent="0.35"/>
  <cols>
    <col min="1" max="1" width="4.7265625" customWidth="1"/>
    <col min="2" max="2" width="9.08984375" style="41"/>
    <col min="3" max="3" width="12.36328125" style="41" bestFit="1" customWidth="1"/>
    <col min="4" max="4" width="9.90625" style="41" bestFit="1" customWidth="1"/>
    <col min="5" max="5" width="5.81640625" style="41" bestFit="1" customWidth="1"/>
    <col min="6" max="6" width="9.08984375" style="41"/>
    <col min="9" max="9" width="12.36328125" bestFit="1" customWidth="1"/>
    <col min="10" max="10" width="15.26953125" bestFit="1" customWidth="1"/>
    <col min="11" max="11" width="5.81640625" bestFit="1" customWidth="1"/>
    <col min="12" max="12" width="7.08984375" bestFit="1" customWidth="1"/>
    <col min="13" max="13" width="6.81640625" bestFit="1" customWidth="1"/>
    <col min="14" max="14" width="8.54296875" bestFit="1" customWidth="1"/>
    <col min="15" max="15" width="5.81640625" bestFit="1" customWidth="1"/>
    <col min="16" max="16" width="22" bestFit="1" customWidth="1"/>
    <col min="17" max="17" width="5.81640625" bestFit="1" customWidth="1"/>
    <col min="18" max="18" width="10.54296875" bestFit="1" customWidth="1"/>
    <col min="19" max="19" width="5.81640625" bestFit="1" customWidth="1"/>
    <col min="20" max="20" width="9.7265625" bestFit="1" customWidth="1"/>
    <col min="21" max="21" width="5.81640625" bestFit="1" customWidth="1"/>
    <col min="22" max="22" width="10.54296875" bestFit="1" customWidth="1"/>
    <col min="23" max="23" width="5.81640625" bestFit="1" customWidth="1"/>
    <col min="24" max="24" width="9.54296875" bestFit="1" customWidth="1"/>
    <col min="25" max="25" width="8.54296875" bestFit="1" customWidth="1"/>
    <col min="26" max="39" width="9" customWidth="1"/>
    <col min="40" max="40" width="12.36328125" bestFit="1" customWidth="1"/>
    <col min="41" max="41" width="9.90625" bestFit="1" customWidth="1"/>
    <col min="42" max="42" width="5.81640625" bestFit="1" customWidth="1"/>
    <col min="46" max="46" width="12.36328125" bestFit="1" customWidth="1"/>
    <col min="47" max="47" width="15.26953125" bestFit="1" customWidth="1"/>
    <col min="48" max="48" width="5.81640625" bestFit="1" customWidth="1"/>
    <col min="49" max="49" width="7.08984375" bestFit="1" customWidth="1"/>
    <col min="50" max="50" width="6.81640625" bestFit="1" customWidth="1"/>
    <col min="51" max="51" width="8.54296875" bestFit="1" customWidth="1"/>
    <col min="52" max="52" width="5.81640625" bestFit="1" customWidth="1"/>
    <col min="53" max="53" width="22" bestFit="1" customWidth="1"/>
    <col min="54" max="54" width="5.81640625" bestFit="1" customWidth="1"/>
    <col min="55" max="55" width="10.54296875" bestFit="1" customWidth="1"/>
    <col min="56" max="56" width="5.81640625" bestFit="1" customWidth="1"/>
    <col min="57" max="57" width="9.7265625" bestFit="1" customWidth="1"/>
    <col min="58" max="58" width="5.81640625" bestFit="1" customWidth="1"/>
    <col min="59" max="59" width="10.54296875" bestFit="1" customWidth="1"/>
    <col min="60" max="60" width="5.81640625" bestFit="1" customWidth="1"/>
    <col min="61" max="61" width="9.54296875" bestFit="1" customWidth="1"/>
    <col min="62" max="62" width="8.54296875" bestFit="1" customWidth="1"/>
    <col min="63" max="63" width="9" customWidth="1"/>
    <col min="78" max="78" width="12.36328125" bestFit="1" customWidth="1"/>
    <col min="79" max="79" width="15.26953125" bestFit="1" customWidth="1"/>
    <col min="80" max="80" width="5.81640625" bestFit="1" customWidth="1"/>
    <col min="81" max="81" width="7.08984375" bestFit="1" customWidth="1"/>
    <col min="82" max="82" width="6.81640625" bestFit="1" customWidth="1"/>
    <col min="83" max="83" width="8.54296875" bestFit="1" customWidth="1"/>
    <col min="84" max="84" width="5.81640625" bestFit="1" customWidth="1"/>
    <col min="85" max="85" width="22" bestFit="1" customWidth="1"/>
    <col min="86" max="86" width="5.81640625" bestFit="1" customWidth="1"/>
    <col min="87" max="87" width="10.54296875" bestFit="1" customWidth="1"/>
    <col min="88" max="88" width="5.81640625" bestFit="1" customWidth="1"/>
    <col min="89" max="89" width="9.7265625" bestFit="1" customWidth="1"/>
    <col min="90" max="90" width="5.81640625" bestFit="1" customWidth="1"/>
    <col min="91" max="91" width="10.54296875" bestFit="1" customWidth="1"/>
    <col min="92" max="92" width="5.81640625" bestFit="1" customWidth="1"/>
    <col min="93" max="93" width="9.54296875" bestFit="1" customWidth="1"/>
    <col min="94" max="94" width="8.54296875" bestFit="1" customWidth="1"/>
    <col min="98" max="99" width="10.08984375" bestFit="1" customWidth="1"/>
    <col min="104" max="105" width="9.08984375" bestFit="1" customWidth="1"/>
    <col min="120" max="120" width="12.36328125" bestFit="1" customWidth="1"/>
    <col min="121" max="121" width="23.26953125" bestFit="1" customWidth="1"/>
    <col min="122" max="122" width="22.1796875" bestFit="1" customWidth="1"/>
    <col min="127" max="127" width="10.453125" bestFit="1" customWidth="1"/>
    <col min="132" max="132" width="8.7265625" customWidth="1"/>
  </cols>
  <sheetData>
    <row r="1" spans="2:133" s="17" customFormat="1" x14ac:dyDescent="0.35">
      <c r="B1" s="37"/>
      <c r="C1" s="43" t="s">
        <v>284</v>
      </c>
      <c r="D1" s="43"/>
      <c r="E1" s="50"/>
      <c r="F1" s="50"/>
      <c r="H1" s="37"/>
      <c r="I1" s="43" t="s">
        <v>285</v>
      </c>
      <c r="J1" s="50"/>
      <c r="K1" s="50"/>
      <c r="L1" s="50"/>
      <c r="M1" s="50"/>
      <c r="N1" s="50"/>
      <c r="O1" s="50"/>
      <c r="P1" s="50"/>
      <c r="Q1" s="50"/>
      <c r="R1" s="50"/>
      <c r="S1" s="50"/>
      <c r="T1" s="50"/>
      <c r="U1" s="50"/>
      <c r="V1" s="112"/>
      <c r="W1" s="112"/>
      <c r="X1" s="112"/>
      <c r="Y1" s="112"/>
      <c r="Z1" s="112"/>
      <c r="AA1" s="50"/>
      <c r="AB1" s="50"/>
      <c r="AC1" s="50"/>
      <c r="AD1" s="50"/>
      <c r="AE1" s="50"/>
      <c r="AF1" s="50"/>
      <c r="AG1" s="50"/>
      <c r="AH1" s="50"/>
      <c r="AI1" s="50"/>
      <c r="AJ1" s="112"/>
      <c r="AK1" s="112"/>
      <c r="AL1" s="112"/>
      <c r="AM1" s="37"/>
      <c r="AN1" s="43" t="s">
        <v>268</v>
      </c>
      <c r="AO1" s="40"/>
      <c r="AP1" s="40"/>
      <c r="AQ1" s="40"/>
      <c r="AR1" s="40"/>
      <c r="AT1" s="55" t="s">
        <v>270</v>
      </c>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row>
    <row r="3" spans="2:133" x14ac:dyDescent="0.35">
      <c r="C3" s="18" t="s">
        <v>40</v>
      </c>
      <c r="D3" t="s" vm="1">
        <v>435</v>
      </c>
      <c r="E3"/>
      <c r="I3" s="18" t="s">
        <v>40</v>
      </c>
      <c r="J3" t="s" vm="1">
        <v>435</v>
      </c>
      <c r="AC3" t="s">
        <v>41</v>
      </c>
      <c r="AD3" t="s">
        <v>1</v>
      </c>
      <c r="AE3" t="s">
        <v>226</v>
      </c>
      <c r="AF3" t="s">
        <v>254</v>
      </c>
      <c r="AG3" t="s">
        <v>223</v>
      </c>
      <c r="AH3" t="s">
        <v>224</v>
      </c>
      <c r="AI3" t="s">
        <v>257</v>
      </c>
      <c r="AJ3" t="s">
        <v>256</v>
      </c>
      <c r="AN3" s="18" t="s">
        <v>40</v>
      </c>
      <c r="AO3" t="s" vm="1">
        <v>435</v>
      </c>
      <c r="AT3" s="18" t="s">
        <v>40</v>
      </c>
      <c r="AU3" t="s" vm="1">
        <v>435</v>
      </c>
      <c r="BZ3" s="18" t="s">
        <v>40</v>
      </c>
      <c r="CA3" t="s" vm="1">
        <v>435</v>
      </c>
      <c r="CS3" s="17" t="s">
        <v>617</v>
      </c>
      <c r="DD3" s="17" t="s">
        <v>618</v>
      </c>
      <c r="DP3" s="18" t="s">
        <v>40</v>
      </c>
      <c r="DQ3" t="s" vm="1">
        <v>435</v>
      </c>
    </row>
    <row r="4" spans="2:133" x14ac:dyDescent="0.35">
      <c r="C4"/>
      <c r="D4"/>
      <c r="E4"/>
      <c r="AB4" t="s">
        <v>43</v>
      </c>
      <c r="AC4" s="28">
        <f>VLOOKUP($AB4,$I$8:$Y$1048576,17,FALSE)/VLOOKUP($AB4,$I$8:$Y$1048576,16,FALSE)</f>
        <v>0.73717077590111957</v>
      </c>
      <c r="AD4" s="28">
        <f>VLOOKUP($AB4,$I$8:$Y$1048576,5,FALSE)/VLOOKUP($AB4,$I$8:$Y$1048576,4,FALSE)</f>
        <v>0.81789321789321789</v>
      </c>
      <c r="AE4" s="28">
        <f>VLOOKUP($AB4,$I$8:$Y$1048576,7,FALSE)/VLOOKUP($AB4,$I$8:$Y$1048576,6,FALSE)</f>
        <v>0.76257148491421811</v>
      </c>
      <c r="AF4" s="28">
        <f>VLOOKUP($AB4,$I$8:$Y$1048576,9,FALSE)/VLOOKUP($AB4,$I$8:$Y$1048576,8,FALSE)</f>
        <v>0.71250971250971251</v>
      </c>
      <c r="AG4" s="28">
        <f>VLOOKUP($AB4,$I$8:$Y$1048576,13,FALSE)/VLOOKUP($AB4,$I$8:$Y$1048576,12,FALSE)</f>
        <v>0.74767995986957614</v>
      </c>
      <c r="AH4" s="28">
        <f>VLOOKUP($AB4,$I$8:$Y$1048576,15,FALSE)/VLOOKUP($AB4,$I$8:$Y$1048576,14,FALSE)</f>
        <v>0.61174732175840418</v>
      </c>
      <c r="AI4" s="28">
        <f>VLOOKUP($AB4,$I$8:$Y$1048576,3,FALSE)/VLOOKUP($AB4,$I$8:$Y$1048576,2,FALSE)</f>
        <v>0.70505415162454876</v>
      </c>
      <c r="AJ4" s="28">
        <f>VLOOKUP($AB4,$I$8:$Y$1048576,11,FALSE)/VLOOKUP($AB4,$I$8:$Y$1048576,10,FALSE)</f>
        <v>0.69648264616818079</v>
      </c>
      <c r="AK4" s="45"/>
      <c r="AL4" s="45"/>
      <c r="EB4" t="s">
        <v>621</v>
      </c>
    </row>
    <row r="5" spans="2:133" x14ac:dyDescent="0.35">
      <c r="C5" s="18" t="s">
        <v>38</v>
      </c>
      <c r="D5" t="s">
        <v>182</v>
      </c>
      <c r="E5" t="s">
        <v>184</v>
      </c>
      <c r="J5" s="18" t="s">
        <v>42</v>
      </c>
      <c r="AB5" t="s">
        <v>44</v>
      </c>
      <c r="AC5" s="28">
        <f t="shared" ref="AC5:AC16" si="0">VLOOKUP($AB5,$I$8:$Y$1048576,17,FALSE)/VLOOKUP($AB5,$I$8:$Y$1048576,16,FALSE)</f>
        <v>0.75170078994035139</v>
      </c>
      <c r="AD5" s="28">
        <f t="shared" ref="AD5:AD16" si="1">VLOOKUP($AB5,$I$8:$Y$1048576,5,FALSE)/VLOOKUP($AB5,$I$8:$Y$1048576,4,FALSE)</f>
        <v>0.8326478513686002</v>
      </c>
      <c r="AE5" s="28">
        <f t="shared" ref="AE5:AE16" si="2">VLOOKUP($AB5,$I$8:$Y$1048576,7,FALSE)/VLOOKUP($AB5,$I$8:$Y$1048576,6,FALSE)</f>
        <v>0.73643410852713176</v>
      </c>
      <c r="AF5" s="28">
        <f t="shared" ref="AF5:AF16" si="3">VLOOKUP($AB5,$I$8:$Y$1048576,9,FALSE)/VLOOKUP($AB5,$I$8:$Y$1048576,8,FALSE)</f>
        <v>0.70934597905552266</v>
      </c>
      <c r="AG5" s="28">
        <f t="shared" ref="AG5:AG16" si="4">VLOOKUP($AB5,$I$8:$Y$1048576,13,FALSE)/VLOOKUP($AB5,$I$8:$Y$1048576,12,FALSE)</f>
        <v>0.75578470824949695</v>
      </c>
      <c r="AH5" s="28">
        <f t="shared" ref="AH5:AH16" si="5">VLOOKUP($AB5,$I$8:$Y$1048576,15,FALSE)/VLOOKUP($AB5,$I$8:$Y$1048576,14,FALSE)</f>
        <v>0.69139344262295077</v>
      </c>
      <c r="AI5" s="28">
        <f t="shared" ref="AI5:AI16" si="6">VLOOKUP($AB5,$I$8:$Y$1048576,3,FALSE)/VLOOKUP($AB5,$I$8:$Y$1048576,2,FALSE)</f>
        <v>0.77823332090942976</v>
      </c>
      <c r="AJ5" s="28">
        <f t="shared" ref="AJ5:AJ16" si="7">VLOOKUP($AB5,$I$8:$Y$1048576,11,FALSE)/VLOOKUP($AB5,$I$8:$Y$1048576,10,FALSE)</f>
        <v>0.70190274841437628</v>
      </c>
      <c r="AK5" s="45"/>
      <c r="AL5" s="45"/>
      <c r="AN5" s="18" t="s">
        <v>38</v>
      </c>
      <c r="AO5" t="s">
        <v>182</v>
      </c>
      <c r="AP5" t="s">
        <v>184</v>
      </c>
      <c r="AU5" s="18" t="s">
        <v>42</v>
      </c>
      <c r="BN5" t="s">
        <v>41</v>
      </c>
      <c r="BO5" t="s">
        <v>1</v>
      </c>
      <c r="BP5" t="s">
        <v>226</v>
      </c>
      <c r="BQ5" t="s">
        <v>254</v>
      </c>
      <c r="BR5" t="s">
        <v>223</v>
      </c>
      <c r="BS5" t="s">
        <v>224</v>
      </c>
      <c r="BT5" t="s">
        <v>257</v>
      </c>
      <c r="BU5" t="s">
        <v>256</v>
      </c>
      <c r="CA5" s="18" t="s">
        <v>42</v>
      </c>
      <c r="CT5" t="s">
        <v>41</v>
      </c>
      <c r="CU5" t="s">
        <v>1</v>
      </c>
      <c r="CV5" t="s">
        <v>226</v>
      </c>
      <c r="CW5" t="s">
        <v>254</v>
      </c>
      <c r="CX5" t="s">
        <v>223</v>
      </c>
      <c r="CY5" t="s">
        <v>224</v>
      </c>
      <c r="CZ5" t="s">
        <v>257</v>
      </c>
      <c r="DA5" t="s">
        <v>256</v>
      </c>
      <c r="DE5" t="s">
        <v>41</v>
      </c>
      <c r="DF5" t="s">
        <v>1</v>
      </c>
      <c r="DG5" t="s">
        <v>226</v>
      </c>
      <c r="DH5" t="s">
        <v>254</v>
      </c>
      <c r="DI5" t="s">
        <v>223</v>
      </c>
      <c r="DJ5" t="s">
        <v>224</v>
      </c>
      <c r="DK5" t="s">
        <v>257</v>
      </c>
      <c r="DL5" t="s">
        <v>256</v>
      </c>
      <c r="DP5" s="18" t="s">
        <v>38</v>
      </c>
      <c r="DQ5" t="s">
        <v>619</v>
      </c>
      <c r="DR5" t="s">
        <v>622</v>
      </c>
      <c r="DT5" t="s">
        <v>616</v>
      </c>
      <c r="DU5">
        <f>MAX(DQ6:DQ1048576)</f>
        <v>6227</v>
      </c>
      <c r="DV5">
        <f>MATCH(DU5,DQ6:DQ1048576,0)</f>
        <v>58</v>
      </c>
      <c r="DW5" s="147" cm="1">
        <f t="array" ref="DW5">INDEX(DP6:DP1048576,DV5)</f>
        <v>44222</v>
      </c>
      <c r="EB5" t="s">
        <v>616</v>
      </c>
      <c r="EC5" t="s">
        <v>60</v>
      </c>
    </row>
    <row r="6" spans="2:133" x14ac:dyDescent="0.35">
      <c r="B6" s="28"/>
      <c r="C6" s="19">
        <v>1</v>
      </c>
      <c r="D6" s="2">
        <v>30906</v>
      </c>
      <c r="E6" s="2">
        <v>22783</v>
      </c>
      <c r="F6" s="28">
        <f>E6/D6</f>
        <v>0.73717077590111957</v>
      </c>
      <c r="H6" s="28"/>
      <c r="J6" t="s">
        <v>291</v>
      </c>
      <c r="L6" t="s">
        <v>1</v>
      </c>
      <c r="N6" t="s">
        <v>226</v>
      </c>
      <c r="P6" t="s">
        <v>258</v>
      </c>
      <c r="R6" t="s">
        <v>255</v>
      </c>
      <c r="T6" t="s">
        <v>223</v>
      </c>
      <c r="V6" t="s">
        <v>224</v>
      </c>
      <c r="X6" t="s">
        <v>181</v>
      </c>
      <c r="Y6" t="s">
        <v>183</v>
      </c>
      <c r="AB6" t="s">
        <v>45</v>
      </c>
      <c r="AC6" s="28">
        <f t="shared" si="0"/>
        <v>0.77040799389171066</v>
      </c>
      <c r="AD6" s="28">
        <f t="shared" si="1"/>
        <v>0.86089466089466093</v>
      </c>
      <c r="AE6" s="28">
        <f t="shared" si="2"/>
        <v>0.7131225146752509</v>
      </c>
      <c r="AF6" s="28">
        <f t="shared" si="3"/>
        <v>0.72236815518286523</v>
      </c>
      <c r="AG6" s="28">
        <f t="shared" si="4"/>
        <v>0.79787503162155327</v>
      </c>
      <c r="AH6" s="28">
        <f t="shared" si="5"/>
        <v>0.77666817975487967</v>
      </c>
      <c r="AI6" s="28">
        <f t="shared" si="6"/>
        <v>0.78075065031586766</v>
      </c>
      <c r="AJ6" s="28">
        <f t="shared" si="7"/>
        <v>0.71282798833819239</v>
      </c>
      <c r="AK6" s="45"/>
      <c r="AL6" s="45"/>
      <c r="AN6" s="19">
        <v>1</v>
      </c>
      <c r="AO6" s="2">
        <v>30906</v>
      </c>
      <c r="AP6" s="2">
        <v>22783</v>
      </c>
      <c r="AQ6" s="20">
        <f>(AO6-AP6)/4</f>
        <v>2030.75</v>
      </c>
      <c r="AR6" s="20"/>
      <c r="AU6" t="s">
        <v>291</v>
      </c>
      <c r="AW6" t="s">
        <v>1</v>
      </c>
      <c r="AY6" t="s">
        <v>226</v>
      </c>
      <c r="BA6" t="s">
        <v>258</v>
      </c>
      <c r="BC6" t="s">
        <v>255</v>
      </c>
      <c r="BE6" t="s">
        <v>223</v>
      </c>
      <c r="BG6" t="s">
        <v>224</v>
      </c>
      <c r="BI6" t="s">
        <v>181</v>
      </c>
      <c r="BJ6" t="s">
        <v>183</v>
      </c>
      <c r="BM6" s="41" t="s">
        <v>43</v>
      </c>
      <c r="BN6" s="25">
        <f>(VLOOKUP($BM6,$AT$8:$BJ$1048576,16,FALSE)-VLOOKUP($BM6,$AT$8:$BJ$1048576,17,FALSE))/7</f>
        <v>1160.4285714285713</v>
      </c>
      <c r="BO6" s="25">
        <f>(VLOOKUP($BM6,$AT$8:$BJ$1048576,4,FALSE)-VLOOKUP($BM6,$AT$8:$BJ$1048576,5,FALSE))/7</f>
        <v>180.28571428571428</v>
      </c>
      <c r="BP6" s="25">
        <f>(VLOOKUP($BM6,$AT$8:$BJ$1048576,6,FALSE)-VLOOKUP($BM6,$AT$8:$BJ$1048576,7,FALSE))/7</f>
        <v>172</v>
      </c>
      <c r="BQ6" s="25">
        <f>(VLOOKUP($BM6,$AT$8:$BJ$1048576,8,FALSE)-VLOOKUP($BM6,$AT$8:$BJ$1048576,9,FALSE))/7</f>
        <v>211.42857142857142</v>
      </c>
      <c r="BR6" s="25">
        <f>(VLOOKUP($BM6,$AT$8:$BJ$1048576,12,FALSE)-VLOOKUP($BM6,$AT$8:$BJ$1048576,13,FALSE))/7</f>
        <v>143.71428571428572</v>
      </c>
      <c r="BS6" s="25">
        <f>(VLOOKUP($BM6,$AT$8:$BJ$1048576,14,FALSE)-VLOOKUP($BM6,$AT$8:$BJ$1048576,15,FALSE))/7</f>
        <v>150.14285714285714</v>
      </c>
      <c r="BT6" s="25">
        <f>(VLOOKUP($BM6,$AT$8:$BJ$1048576,2,FALSE)-VLOOKUP($BM6,$AT$8:$BJ$1048576,3,FALSE))/7</f>
        <v>116.71428571428571</v>
      </c>
      <c r="BU6" s="25">
        <f>(VLOOKUP($BM6,$AT$8:$BJ$1048576,10,FALSE)-VLOOKUP($BM6,$AT$8:$BJ$1048576,11,FALSE))/7</f>
        <v>186.14285714285714</v>
      </c>
      <c r="CA6" t="s">
        <v>291</v>
      </c>
      <c r="CC6" t="s">
        <v>1</v>
      </c>
      <c r="CE6" t="s">
        <v>226</v>
      </c>
      <c r="CG6" t="s">
        <v>258</v>
      </c>
      <c r="CI6" t="s">
        <v>255</v>
      </c>
      <c r="CK6" t="s">
        <v>223</v>
      </c>
      <c r="CM6" t="s">
        <v>224</v>
      </c>
      <c r="CO6" t="s">
        <v>181</v>
      </c>
      <c r="CP6" t="s">
        <v>183</v>
      </c>
      <c r="CS6" s="145" t="s">
        <v>43</v>
      </c>
      <c r="CT6" s="146">
        <f>(VLOOKUP(CS6,$BZ$8:$CP$1048576,16,FALSE))/7</f>
        <v>4415.1428571428569</v>
      </c>
      <c r="CU6" s="146">
        <f>(VLOOKUP(CS6,$BZ$8:$CP$1048576,4,FALSE))/7</f>
        <v>990</v>
      </c>
      <c r="CV6" s="146">
        <f>(VLOOKUP($CS$6,$BZ$8:$CP$1048576,6,FALSE))/7</f>
        <v>724.42857142857144</v>
      </c>
      <c r="CW6" s="146">
        <f>(VLOOKUP(CS6,$BZ$8:$CP$1048576,8,FALSE))/7</f>
        <v>735.42857142857144</v>
      </c>
      <c r="CX6" s="146">
        <f>(VLOOKUP(CS6,$BZ$8:$CP$1048576,12,FALSE))/7</f>
        <v>569.57142857142856</v>
      </c>
      <c r="CY6" s="146">
        <f>(VLOOKUP(CS6,$BZ$8:$CP$1048576,14,FALSE))/7</f>
        <v>386.71428571428572</v>
      </c>
      <c r="CZ6" s="146">
        <f>(VLOOKUP(CS6,$BZ$8:$CP$1048576,2,FALSE))/7</f>
        <v>395.71428571428572</v>
      </c>
      <c r="DA6" s="146">
        <f>(VLOOKUP(CS6,$BZ$8:$CP$1048576,10,FALSE))/7</f>
        <v>613.28571428571433</v>
      </c>
      <c r="DD6" s="145" t="s">
        <v>43</v>
      </c>
      <c r="DE6" s="146">
        <f t="shared" ref="DE6:DE18" si="8">(VLOOKUP(DD6,$BZ$8:$CP$1048576,17,FALSE))/7</f>
        <v>3254.7142857142858</v>
      </c>
      <c r="DF6" s="146">
        <f t="shared" ref="DF6:DF18" si="9">(VLOOKUP(DD6,$BZ$8:$CP$1048576,5,FALSE))/7</f>
        <v>809.71428571428567</v>
      </c>
      <c r="DG6" s="146">
        <f>(VLOOKUP($CS$6,$BZ$8:$CP$1048576,7,FALSE))/7</f>
        <v>552.42857142857144</v>
      </c>
      <c r="DH6" s="146">
        <f>(VLOOKUP(DD6,$BZ$8:$CP$1048576,9,FALSE))/7</f>
        <v>524</v>
      </c>
      <c r="DI6" s="146">
        <f>(VLOOKUP(DD6,$BZ$8:$CP$1048576,13,FALSE))/7</f>
        <v>425.85714285714283</v>
      </c>
      <c r="DJ6" s="146">
        <f>(VLOOKUP(DD6,$BZ$8:$CP$1048576,15,FALSE))/7</f>
        <v>236.57142857142858</v>
      </c>
      <c r="DK6" s="146">
        <f>(VLOOKUP(DD6,$BZ$8:$CP$1048576,3,FALSE))/7</f>
        <v>279</v>
      </c>
      <c r="DL6" s="146">
        <f>(VLOOKUP(DD6,$BZ$8:$CP$1048576,11,FALSE))/7</f>
        <v>427.14285714285717</v>
      </c>
      <c r="DP6" s="125">
        <v>44165</v>
      </c>
      <c r="DQ6" s="2">
        <v>4320</v>
      </c>
      <c r="DR6" s="2">
        <v>3133</v>
      </c>
      <c r="DT6" t="s">
        <v>60</v>
      </c>
      <c r="DU6">
        <f>MAX(DR6:DR1048576)</f>
        <v>5370</v>
      </c>
      <c r="DV6">
        <f>MATCH(DU6,DR6:DR1048576,0)</f>
        <v>55</v>
      </c>
      <c r="DW6" s="147" cm="1">
        <f t="array" ref="DW6">INDEX(DP6:DP1048576,DV6)</f>
        <v>44219</v>
      </c>
      <c r="EA6" s="145" t="s">
        <v>43</v>
      </c>
      <c r="EB6" s="146" t="b">
        <f>IF($CA$3="2018/19", (VLOOKUP(EA6,$BZ$8:$CL$1048576,12,FALSE))/7)</f>
        <v>0</v>
      </c>
      <c r="EC6" s="146" t="b">
        <f>IF($CA$3="2018/19", (VLOOKUP(EA6,$BZ$8:$CL$1048576,13,FALSE))/7)</f>
        <v>0</v>
      </c>
    </row>
    <row r="7" spans="2:133" x14ac:dyDescent="0.35">
      <c r="B7" s="28"/>
      <c r="C7" s="19">
        <v>2</v>
      </c>
      <c r="D7" s="2">
        <v>31015</v>
      </c>
      <c r="E7" s="2">
        <v>23314</v>
      </c>
      <c r="F7" s="28">
        <f t="shared" ref="F7:F20" si="10">E7/D7</f>
        <v>0.75170078994035139</v>
      </c>
      <c r="H7" s="28"/>
      <c r="I7" s="18" t="s">
        <v>38</v>
      </c>
      <c r="J7" t="s">
        <v>182</v>
      </c>
      <c r="K7" t="s">
        <v>184</v>
      </c>
      <c r="L7" t="s">
        <v>182</v>
      </c>
      <c r="M7" t="s">
        <v>184</v>
      </c>
      <c r="N7" t="s">
        <v>182</v>
      </c>
      <c r="O7" t="s">
        <v>184</v>
      </c>
      <c r="P7" t="s">
        <v>182</v>
      </c>
      <c r="Q7" t="s">
        <v>184</v>
      </c>
      <c r="R7" t="s">
        <v>182</v>
      </c>
      <c r="S7" t="s">
        <v>184</v>
      </c>
      <c r="T7" t="s">
        <v>182</v>
      </c>
      <c r="U7" t="s">
        <v>184</v>
      </c>
      <c r="V7" t="s">
        <v>182</v>
      </c>
      <c r="W7" t="s">
        <v>184</v>
      </c>
      <c r="AB7" t="s">
        <v>46</v>
      </c>
      <c r="AC7" s="28">
        <f t="shared" si="0"/>
        <v>0.76018467340767959</v>
      </c>
      <c r="AD7" s="28">
        <f t="shared" si="1"/>
        <v>0.88732590529247912</v>
      </c>
      <c r="AE7" s="28">
        <f t="shared" si="2"/>
        <v>0.70084507042253519</v>
      </c>
      <c r="AF7" s="28">
        <f t="shared" si="3"/>
        <v>0.7110101218756455</v>
      </c>
      <c r="AG7" s="28">
        <f t="shared" si="4"/>
        <v>0.78349253000244923</v>
      </c>
      <c r="AH7" s="28">
        <f t="shared" si="5"/>
        <v>0.6887387387387387</v>
      </c>
      <c r="AI7" s="28">
        <f t="shared" si="6"/>
        <v>0.76212319790301442</v>
      </c>
      <c r="AJ7" s="28">
        <f t="shared" si="7"/>
        <v>0.6858974358974359</v>
      </c>
      <c r="AK7" s="45"/>
      <c r="AL7" s="45"/>
      <c r="AN7" s="19">
        <v>2</v>
      </c>
      <c r="AO7" s="2">
        <v>31015</v>
      </c>
      <c r="AP7" s="2">
        <v>23314</v>
      </c>
      <c r="AQ7" s="20">
        <f>(AO7-AP7)/7</f>
        <v>1100.1428571428571</v>
      </c>
      <c r="AR7" s="20"/>
      <c r="AT7" s="18" t="s">
        <v>38</v>
      </c>
      <c r="AU7" t="s">
        <v>182</v>
      </c>
      <c r="AV7" t="s">
        <v>184</v>
      </c>
      <c r="AW7" t="s">
        <v>182</v>
      </c>
      <c r="AX7" t="s">
        <v>184</v>
      </c>
      <c r="AY7" t="s">
        <v>182</v>
      </c>
      <c r="AZ7" t="s">
        <v>184</v>
      </c>
      <c r="BA7" t="s">
        <v>182</v>
      </c>
      <c r="BB7" t="s">
        <v>184</v>
      </c>
      <c r="BC7" t="s">
        <v>182</v>
      </c>
      <c r="BD7" t="s">
        <v>184</v>
      </c>
      <c r="BE7" t="s">
        <v>182</v>
      </c>
      <c r="BF7" t="s">
        <v>184</v>
      </c>
      <c r="BG7" t="s">
        <v>182</v>
      </c>
      <c r="BH7" t="s">
        <v>184</v>
      </c>
      <c r="BM7" s="41" t="s">
        <v>44</v>
      </c>
      <c r="BN7" s="25">
        <f t="shared" ref="BN7:BN18" si="11">(VLOOKUP($BM7,$AT$8:$BJ$1048576,16,FALSE)-VLOOKUP($BM7,$AT$8:$BJ$1048576,17,FALSE))/7</f>
        <v>1100.1428571428571</v>
      </c>
      <c r="BO7" s="25">
        <f t="shared" ref="BO7:BO18" si="12">(VLOOKUP($BM7,$AT$8:$BJ$1048576,4,FALSE)-VLOOKUP($BM7,$AT$8:$BJ$1048576,5,FALSE))/7</f>
        <v>168.57142857142858</v>
      </c>
      <c r="BP7" s="25">
        <f t="shared" ref="BP7:BP18" si="13">(VLOOKUP($BM7,$AT$8:$BJ$1048576,6,FALSE)-VLOOKUP($BM7,$AT$8:$BJ$1048576,7,FALSE))/7</f>
        <v>208.85714285714286</v>
      </c>
      <c r="BQ7" s="25">
        <f t="shared" ref="BQ7:BQ18" si="14">(VLOOKUP($BM7,$AT$8:$BJ$1048576,8,FALSE)-VLOOKUP($BM7,$AT$8:$BJ$1048576,9,FALSE))/7</f>
        <v>210.14285714285714</v>
      </c>
      <c r="BR7" s="25">
        <f t="shared" ref="BR7:BR18" si="15">(VLOOKUP($BM7,$AT$8:$BJ$1048576,12,FALSE)-VLOOKUP($BM7,$AT$8:$BJ$1048576,13,FALSE))/7</f>
        <v>138.71428571428572</v>
      </c>
      <c r="BS7" s="25">
        <f t="shared" ref="BS7:BS18" si="16">(VLOOKUP($BM7,$AT$8:$BJ$1048576,14,FALSE)-VLOOKUP($BM7,$AT$8:$BJ$1048576,15,FALSE))/7</f>
        <v>107.57142857142857</v>
      </c>
      <c r="BT7" s="25">
        <f t="shared" ref="BT7:BT18" si="17">(VLOOKUP($BM7,$AT$8:$BJ$1048576,2,FALSE)-VLOOKUP($BM7,$AT$8:$BJ$1048576,3,FALSE))/7</f>
        <v>85</v>
      </c>
      <c r="BU7" s="25">
        <f t="shared" ref="BU7:BU17" si="18">(VLOOKUP($BM7,$AT$8:$BJ$1048576,10,FALSE)-VLOOKUP($BM7,$AT$8:$BJ$1048576,11,FALSE))/7</f>
        <v>181.28571428571428</v>
      </c>
      <c r="BZ7" s="18" t="s">
        <v>38</v>
      </c>
      <c r="CA7" t="s">
        <v>182</v>
      </c>
      <c r="CB7" t="s">
        <v>184</v>
      </c>
      <c r="CC7" t="s">
        <v>182</v>
      </c>
      <c r="CD7" t="s">
        <v>184</v>
      </c>
      <c r="CE7" t="s">
        <v>182</v>
      </c>
      <c r="CF7" t="s">
        <v>184</v>
      </c>
      <c r="CG7" t="s">
        <v>182</v>
      </c>
      <c r="CH7" t="s">
        <v>184</v>
      </c>
      <c r="CI7" t="s">
        <v>182</v>
      </c>
      <c r="CJ7" t="s">
        <v>184</v>
      </c>
      <c r="CK7" t="s">
        <v>182</v>
      </c>
      <c r="CL7" t="s">
        <v>184</v>
      </c>
      <c r="CM7" t="s">
        <v>182</v>
      </c>
      <c r="CN7" t="s">
        <v>184</v>
      </c>
      <c r="CS7" s="145" t="s">
        <v>44</v>
      </c>
      <c r="CT7" s="146">
        <f t="shared" ref="CT7:CT18" si="19">(VLOOKUP(CS7,$BZ$8:$CP$1048576,16,FALSE))/7</f>
        <v>4430.7142857142853</v>
      </c>
      <c r="CU7" s="146">
        <f t="shared" ref="CU7:CU18" si="20">(VLOOKUP(CS7,$BZ$8:$CP$1048576,4,FALSE))/7</f>
        <v>1007.2857142857143</v>
      </c>
      <c r="CV7" s="146">
        <f t="shared" ref="CV7:CV18" si="21">(VLOOKUP(CS7,$BZ$8:$CP$1048576,6,FALSE))/7</f>
        <v>792.42857142857144</v>
      </c>
      <c r="CW7" s="146">
        <f t="shared" ref="CW7:CW18" si="22">(VLOOKUP(CS7,$BZ$8:$CP$1048576,8,FALSE))/7</f>
        <v>723</v>
      </c>
      <c r="CX7" s="146">
        <f t="shared" ref="CX7:CX18" si="23">(VLOOKUP(CS7,$BZ$8:$CP$1048576,12,FALSE))/7</f>
        <v>568</v>
      </c>
      <c r="CY7" s="146">
        <f t="shared" ref="CY7:CY18" si="24">(VLOOKUP(CS7,$BZ$8:$CP$1048576,14,FALSE))/7</f>
        <v>348.57142857142856</v>
      </c>
      <c r="CZ7" s="146">
        <f t="shared" ref="CZ7:CZ18" si="25">(VLOOKUP(CS7,$BZ$8:$CP$1048576,2,FALSE))/7</f>
        <v>383.28571428571428</v>
      </c>
      <c r="DA7" s="146">
        <f t="shared" ref="DA7:DA18" si="26">(VLOOKUP(CS7,$BZ$8:$CP$1048576,10,FALSE))/7</f>
        <v>608.14285714285711</v>
      </c>
      <c r="DD7" s="145" t="s">
        <v>44</v>
      </c>
      <c r="DE7" s="146">
        <f t="shared" si="8"/>
        <v>3330.5714285714284</v>
      </c>
      <c r="DF7" s="146">
        <f t="shared" si="9"/>
        <v>838.71428571428567</v>
      </c>
      <c r="DG7" s="146">
        <f t="shared" ref="DG7:DG18" si="27">(VLOOKUP(DD7,$BZ$8:$CP$1048576,7,FALSE))/7</f>
        <v>583.57142857142856</v>
      </c>
      <c r="DH7" s="146">
        <f t="shared" ref="DH7:DH18" si="28">(VLOOKUP(DD7,$BZ$8:$CP$1048576,9,FALSE))/7</f>
        <v>512.85714285714289</v>
      </c>
      <c r="DI7" s="146">
        <f t="shared" ref="DI7:DI18" si="29">(VLOOKUP(DD7,$BZ$8:$CP$1048576,13,FALSE))/7</f>
        <v>429.28571428571428</v>
      </c>
      <c r="DJ7" s="146">
        <f t="shared" ref="DJ7:DJ18" si="30">(VLOOKUP(DD7,$BZ$8:$CP$1048576,15,FALSE))/7</f>
        <v>241</v>
      </c>
      <c r="DK7" s="146">
        <f t="shared" ref="DK7:DK18" si="31">(VLOOKUP(DD7,$BZ$8:$CP$1048576,3,FALSE))/7</f>
        <v>298.28571428571428</v>
      </c>
      <c r="DL7" s="146">
        <f t="shared" ref="DL7:DL18" si="32">(VLOOKUP(DD7,$BZ$8:$CP$1048576,11,FALSE))/7</f>
        <v>426.85714285714283</v>
      </c>
      <c r="DP7" s="125">
        <v>44166</v>
      </c>
      <c r="DQ7" s="2">
        <v>4377</v>
      </c>
      <c r="DR7" s="2">
        <v>3258</v>
      </c>
      <c r="EA7" s="145" t="s">
        <v>44</v>
      </c>
      <c r="EB7" s="146" t="b">
        <f t="shared" ref="EB7:EB18" si="33">IF($CA$3="2018/19", (VLOOKUP(EA7,$BZ$8:$CL$1048576,12,FALSE))/7)</f>
        <v>0</v>
      </c>
      <c r="EC7" s="146" t="b">
        <f t="shared" ref="EC7:EC18" si="34">IF($CA$3="2018/19", (VLOOKUP(EA7,$BZ$8:$CL$1048576,13,FALSE))/7)</f>
        <v>0</v>
      </c>
    </row>
    <row r="8" spans="2:133" x14ac:dyDescent="0.35">
      <c r="B8" s="28"/>
      <c r="C8" s="19">
        <v>3</v>
      </c>
      <c r="D8" s="2">
        <v>30123</v>
      </c>
      <c r="E8" s="2">
        <v>23207</v>
      </c>
      <c r="F8" s="28">
        <f t="shared" si="10"/>
        <v>0.77040799389171066</v>
      </c>
      <c r="H8" s="28"/>
      <c r="I8" s="19" t="s">
        <v>43</v>
      </c>
      <c r="J8" s="2">
        <v>2770</v>
      </c>
      <c r="K8" s="2">
        <v>1953</v>
      </c>
      <c r="L8" s="2">
        <v>6930</v>
      </c>
      <c r="M8" s="2">
        <v>5668</v>
      </c>
      <c r="N8" s="2">
        <v>5071</v>
      </c>
      <c r="O8" s="2">
        <v>3867</v>
      </c>
      <c r="P8" s="2">
        <v>5148</v>
      </c>
      <c r="Q8" s="2">
        <v>3668</v>
      </c>
      <c r="R8" s="2">
        <v>4293</v>
      </c>
      <c r="S8" s="2">
        <v>2990</v>
      </c>
      <c r="T8" s="2">
        <v>3987</v>
      </c>
      <c r="U8" s="2">
        <v>2981</v>
      </c>
      <c r="V8" s="2">
        <v>2707</v>
      </c>
      <c r="W8" s="2">
        <v>1656</v>
      </c>
      <c r="X8" s="2">
        <v>30906</v>
      </c>
      <c r="Y8" s="2">
        <v>22783</v>
      </c>
      <c r="Z8" s="2"/>
      <c r="AA8" s="2"/>
      <c r="AB8" s="20" t="s">
        <v>47</v>
      </c>
      <c r="AC8" s="28">
        <f t="shared" si="0"/>
        <v>0.79547469805840088</v>
      </c>
      <c r="AD8" s="28">
        <f t="shared" si="1"/>
        <v>0.87735965453423814</v>
      </c>
      <c r="AE8" s="28">
        <f t="shared" si="2"/>
        <v>0.74912118408880668</v>
      </c>
      <c r="AF8" s="28">
        <f t="shared" si="3"/>
        <v>0.73323645422462114</v>
      </c>
      <c r="AG8" s="28">
        <f t="shared" si="4"/>
        <v>0.84828349944629011</v>
      </c>
      <c r="AH8" s="28">
        <f t="shared" si="5"/>
        <v>0.69716775599128544</v>
      </c>
      <c r="AI8" s="28">
        <f>VLOOKUP($AB8,$I$8:$Y$1048576,3,FALSE)/VLOOKUP($AB8,$I$8:$Y$1048576,2,FALSE)</f>
        <v>0.83209806157354615</v>
      </c>
      <c r="AJ8" s="28">
        <f t="shared" si="7"/>
        <v>0.73275862068965514</v>
      </c>
      <c r="AK8" s="45"/>
      <c r="AL8" s="45"/>
      <c r="AM8" s="2"/>
      <c r="AN8" s="19">
        <v>3</v>
      </c>
      <c r="AO8" s="2">
        <v>30123</v>
      </c>
      <c r="AP8" s="2">
        <v>23207</v>
      </c>
      <c r="AQ8" s="20">
        <f t="shared" ref="AQ8:AQ19" si="35">(AO8-AP8)/7</f>
        <v>988</v>
      </c>
      <c r="AR8" s="20"/>
      <c r="AT8" s="19" t="s">
        <v>43</v>
      </c>
      <c r="AU8" s="2">
        <v>2770</v>
      </c>
      <c r="AV8" s="2">
        <v>1953</v>
      </c>
      <c r="AW8" s="2">
        <v>6930</v>
      </c>
      <c r="AX8" s="2">
        <v>5668</v>
      </c>
      <c r="AY8" s="2">
        <v>5071</v>
      </c>
      <c r="AZ8" s="2">
        <v>3867</v>
      </c>
      <c r="BA8" s="2">
        <v>5148</v>
      </c>
      <c r="BB8" s="2">
        <v>3668</v>
      </c>
      <c r="BC8" s="2">
        <v>4293</v>
      </c>
      <c r="BD8" s="2">
        <v>2990</v>
      </c>
      <c r="BE8" s="2">
        <v>3987</v>
      </c>
      <c r="BF8" s="2">
        <v>2981</v>
      </c>
      <c r="BG8" s="2">
        <v>2707</v>
      </c>
      <c r="BH8" s="2">
        <v>1656</v>
      </c>
      <c r="BI8" s="2">
        <v>30906</v>
      </c>
      <c r="BJ8" s="2">
        <v>22783</v>
      </c>
      <c r="BK8" s="2"/>
      <c r="BM8" s="41" t="s">
        <v>45</v>
      </c>
      <c r="BN8" s="25">
        <f t="shared" si="11"/>
        <v>988</v>
      </c>
      <c r="BO8" s="25">
        <f t="shared" si="12"/>
        <v>137.71428571428572</v>
      </c>
      <c r="BP8" s="25">
        <f t="shared" si="13"/>
        <v>216.42857142857142</v>
      </c>
      <c r="BQ8" s="25">
        <f t="shared" si="14"/>
        <v>196.28571428571428</v>
      </c>
      <c r="BR8" s="25">
        <f t="shared" si="15"/>
        <v>114.14285714285714</v>
      </c>
      <c r="BS8" s="25">
        <f t="shared" si="16"/>
        <v>70.285714285714292</v>
      </c>
      <c r="BT8" s="25">
        <f t="shared" si="17"/>
        <v>84.285714285714292</v>
      </c>
      <c r="BU8" s="25">
        <f t="shared" si="18"/>
        <v>168.85714285714286</v>
      </c>
      <c r="BZ8" s="19" t="s">
        <v>43</v>
      </c>
      <c r="CA8" s="2">
        <v>2770</v>
      </c>
      <c r="CB8" s="2">
        <v>1953</v>
      </c>
      <c r="CC8" s="2">
        <v>6930</v>
      </c>
      <c r="CD8" s="2">
        <v>5668</v>
      </c>
      <c r="CE8" s="2">
        <v>5071</v>
      </c>
      <c r="CF8" s="2">
        <v>3867</v>
      </c>
      <c r="CG8" s="2">
        <v>5148</v>
      </c>
      <c r="CH8" s="2">
        <v>3668</v>
      </c>
      <c r="CI8" s="2">
        <v>4293</v>
      </c>
      <c r="CJ8" s="2">
        <v>2990</v>
      </c>
      <c r="CK8" s="2">
        <v>3987</v>
      </c>
      <c r="CL8" s="2">
        <v>2981</v>
      </c>
      <c r="CM8" s="2">
        <v>2707</v>
      </c>
      <c r="CN8" s="2">
        <v>1656</v>
      </c>
      <c r="CO8" s="2">
        <v>30906</v>
      </c>
      <c r="CP8" s="2">
        <v>22783</v>
      </c>
      <c r="CS8" s="145" t="s">
        <v>45</v>
      </c>
      <c r="CT8" s="146">
        <f t="shared" si="19"/>
        <v>4303.2857142857147</v>
      </c>
      <c r="CU8" s="146">
        <f t="shared" si="20"/>
        <v>990</v>
      </c>
      <c r="CV8" s="146">
        <f t="shared" si="21"/>
        <v>754.42857142857144</v>
      </c>
      <c r="CW8" s="146">
        <f t="shared" si="22"/>
        <v>707</v>
      </c>
      <c r="CX8" s="146">
        <f t="shared" si="23"/>
        <v>564.71428571428567</v>
      </c>
      <c r="CY8" s="146">
        <f t="shared" si="24"/>
        <v>314.71428571428572</v>
      </c>
      <c r="CZ8" s="146">
        <f t="shared" si="25"/>
        <v>384.42857142857144</v>
      </c>
      <c r="DA8" s="146">
        <f t="shared" si="26"/>
        <v>588</v>
      </c>
      <c r="DD8" s="145" t="s">
        <v>45</v>
      </c>
      <c r="DE8" s="146">
        <f t="shared" si="8"/>
        <v>3315.2857142857142</v>
      </c>
      <c r="DF8" s="146">
        <f t="shared" si="9"/>
        <v>852.28571428571433</v>
      </c>
      <c r="DG8" s="146">
        <f t="shared" si="27"/>
        <v>538</v>
      </c>
      <c r="DH8" s="146">
        <f t="shared" si="28"/>
        <v>510.71428571428572</v>
      </c>
      <c r="DI8" s="146">
        <f t="shared" si="29"/>
        <v>450.57142857142856</v>
      </c>
      <c r="DJ8" s="146">
        <f t="shared" si="30"/>
        <v>244.42857142857142</v>
      </c>
      <c r="DK8" s="146">
        <f t="shared" si="31"/>
        <v>300.14285714285717</v>
      </c>
      <c r="DL8" s="146">
        <f t="shared" si="32"/>
        <v>419.14285714285717</v>
      </c>
      <c r="DP8" s="125">
        <v>44167</v>
      </c>
      <c r="DQ8" s="2">
        <v>4366</v>
      </c>
      <c r="DR8" s="2">
        <v>3276</v>
      </c>
      <c r="EA8" s="145" t="s">
        <v>45</v>
      </c>
      <c r="EB8" s="146" t="b">
        <f t="shared" si="33"/>
        <v>0</v>
      </c>
      <c r="EC8" s="146" t="b">
        <f t="shared" si="34"/>
        <v>0</v>
      </c>
    </row>
    <row r="9" spans="2:133" x14ac:dyDescent="0.35">
      <c r="B9" s="28"/>
      <c r="C9" s="19">
        <v>4</v>
      </c>
      <c r="D9" s="2">
        <v>30757</v>
      </c>
      <c r="E9" s="2">
        <v>23381</v>
      </c>
      <c r="F9" s="28">
        <f>E9/D9</f>
        <v>0.76018467340767959</v>
      </c>
      <c r="H9" s="28"/>
      <c r="I9" s="19" t="s">
        <v>52</v>
      </c>
      <c r="J9" s="2">
        <v>4303</v>
      </c>
      <c r="K9" s="2">
        <v>3387</v>
      </c>
      <c r="L9" s="2">
        <v>11170</v>
      </c>
      <c r="M9" s="2">
        <v>10036</v>
      </c>
      <c r="N9" s="2">
        <v>7166</v>
      </c>
      <c r="O9" s="2">
        <v>6005</v>
      </c>
      <c r="P9" s="2">
        <v>5930</v>
      </c>
      <c r="Q9" s="2">
        <v>4558</v>
      </c>
      <c r="R9" s="2">
        <v>5020</v>
      </c>
      <c r="S9" s="2">
        <v>3938</v>
      </c>
      <c r="T9" s="2">
        <v>5823</v>
      </c>
      <c r="U9" s="2">
        <v>5006</v>
      </c>
      <c r="V9" s="2">
        <v>2951</v>
      </c>
      <c r="W9" s="2">
        <v>2341</v>
      </c>
      <c r="X9" s="2">
        <v>42363</v>
      </c>
      <c r="Y9" s="2">
        <v>35271</v>
      </c>
      <c r="Z9" s="2"/>
      <c r="AA9" s="2"/>
      <c r="AB9" s="20" t="s">
        <v>48</v>
      </c>
      <c r="AC9" s="28">
        <f t="shared" si="0"/>
        <v>0.83428857603917428</v>
      </c>
      <c r="AD9" s="28">
        <f t="shared" si="1"/>
        <v>0.87875312760633861</v>
      </c>
      <c r="AE9" s="28">
        <f t="shared" si="2"/>
        <v>0.80090972708187547</v>
      </c>
      <c r="AF9" s="28">
        <f t="shared" si="3"/>
        <v>0.7559874361994503</v>
      </c>
      <c r="AG9" s="28">
        <f t="shared" si="4"/>
        <v>0.89435629644506931</v>
      </c>
      <c r="AH9" s="28">
        <f t="shared" si="5"/>
        <v>0.78168130489335008</v>
      </c>
      <c r="AI9" s="28">
        <f t="shared" si="6"/>
        <v>0.87044835273718113</v>
      </c>
      <c r="AJ9" s="28">
        <f t="shared" si="7"/>
        <v>0.79651584805226228</v>
      </c>
      <c r="AK9" s="45"/>
      <c r="AL9" s="45"/>
      <c r="AM9" s="2"/>
      <c r="AN9" s="19">
        <v>4</v>
      </c>
      <c r="AO9" s="2">
        <v>30757</v>
      </c>
      <c r="AP9" s="2">
        <v>23381</v>
      </c>
      <c r="AQ9" s="20">
        <f t="shared" si="35"/>
        <v>1053.7142857142858</v>
      </c>
      <c r="AR9" s="20"/>
      <c r="AT9" s="19" t="s">
        <v>52</v>
      </c>
      <c r="AU9" s="2">
        <v>4303</v>
      </c>
      <c r="AV9" s="2">
        <v>3387</v>
      </c>
      <c r="AW9" s="2">
        <v>11170</v>
      </c>
      <c r="AX9" s="2">
        <v>10036</v>
      </c>
      <c r="AY9" s="2">
        <v>7166</v>
      </c>
      <c r="AZ9" s="2">
        <v>6005</v>
      </c>
      <c r="BA9" s="2">
        <v>5930</v>
      </c>
      <c r="BB9" s="2">
        <v>4558</v>
      </c>
      <c r="BC9" s="2">
        <v>5020</v>
      </c>
      <c r="BD9" s="2">
        <v>3938</v>
      </c>
      <c r="BE9" s="2">
        <v>5823</v>
      </c>
      <c r="BF9" s="2">
        <v>5006</v>
      </c>
      <c r="BG9" s="2">
        <v>2951</v>
      </c>
      <c r="BH9" s="2">
        <v>2341</v>
      </c>
      <c r="BI9" s="2">
        <v>42363</v>
      </c>
      <c r="BJ9" s="2">
        <v>35271</v>
      </c>
      <c r="BK9" s="2"/>
      <c r="BM9" s="41" t="s">
        <v>46</v>
      </c>
      <c r="BN9" s="25">
        <f t="shared" si="11"/>
        <v>1053.7142857142858</v>
      </c>
      <c r="BO9" s="25">
        <f t="shared" si="12"/>
        <v>115.57142857142857</v>
      </c>
      <c r="BP9" s="25">
        <f t="shared" si="13"/>
        <v>227.57142857142858</v>
      </c>
      <c r="BQ9" s="25">
        <f t="shared" si="14"/>
        <v>199.85714285714286</v>
      </c>
      <c r="BR9" s="25">
        <f t="shared" si="15"/>
        <v>126.28571428571429</v>
      </c>
      <c r="BS9" s="25">
        <f t="shared" si="16"/>
        <v>98.714285714285708</v>
      </c>
      <c r="BT9" s="25">
        <f t="shared" si="17"/>
        <v>103.71428571428571</v>
      </c>
      <c r="BU9" s="25">
        <f t="shared" si="18"/>
        <v>182</v>
      </c>
      <c r="BZ9" s="19" t="s">
        <v>52</v>
      </c>
      <c r="CA9" s="2">
        <v>4303</v>
      </c>
      <c r="CB9" s="2">
        <v>3387</v>
      </c>
      <c r="CC9" s="2">
        <v>11170</v>
      </c>
      <c r="CD9" s="2">
        <v>10036</v>
      </c>
      <c r="CE9" s="2">
        <v>7166</v>
      </c>
      <c r="CF9" s="2">
        <v>6005</v>
      </c>
      <c r="CG9" s="2">
        <v>5930</v>
      </c>
      <c r="CH9" s="2">
        <v>4558</v>
      </c>
      <c r="CI9" s="2">
        <v>5020</v>
      </c>
      <c r="CJ9" s="2">
        <v>3938</v>
      </c>
      <c r="CK9" s="2">
        <v>5823</v>
      </c>
      <c r="CL9" s="2">
        <v>5006</v>
      </c>
      <c r="CM9" s="2">
        <v>2951</v>
      </c>
      <c r="CN9" s="2">
        <v>2341</v>
      </c>
      <c r="CO9" s="2">
        <v>42363</v>
      </c>
      <c r="CP9" s="2">
        <v>35271</v>
      </c>
      <c r="CS9" s="145" t="s">
        <v>46</v>
      </c>
      <c r="CT9" s="146">
        <f t="shared" si="19"/>
        <v>4393.8571428571431</v>
      </c>
      <c r="CU9" s="146">
        <f t="shared" si="20"/>
        <v>1025.7142857142858</v>
      </c>
      <c r="CV9" s="146">
        <f t="shared" si="21"/>
        <v>760.71428571428567</v>
      </c>
      <c r="CW9" s="146">
        <f t="shared" si="22"/>
        <v>691.57142857142856</v>
      </c>
      <c r="CX9" s="146">
        <f t="shared" si="23"/>
        <v>583.28571428571433</v>
      </c>
      <c r="CY9" s="146">
        <f t="shared" si="24"/>
        <v>317.14285714285717</v>
      </c>
      <c r="CZ9" s="146">
        <f t="shared" si="25"/>
        <v>436</v>
      </c>
      <c r="DA9" s="146">
        <f t="shared" si="26"/>
        <v>579.42857142857144</v>
      </c>
      <c r="DD9" s="145" t="s">
        <v>46</v>
      </c>
      <c r="DE9" s="146">
        <f t="shared" si="8"/>
        <v>3340.1428571428573</v>
      </c>
      <c r="DF9" s="146">
        <f t="shared" si="9"/>
        <v>910.14285714285711</v>
      </c>
      <c r="DG9" s="146">
        <f t="shared" si="27"/>
        <v>533.14285714285711</v>
      </c>
      <c r="DH9" s="146">
        <f t="shared" si="28"/>
        <v>491.71428571428572</v>
      </c>
      <c r="DI9" s="146">
        <f t="shared" si="29"/>
        <v>457</v>
      </c>
      <c r="DJ9" s="146">
        <f t="shared" si="30"/>
        <v>218.42857142857142</v>
      </c>
      <c r="DK9" s="146">
        <f t="shared" si="31"/>
        <v>332.28571428571428</v>
      </c>
      <c r="DL9" s="146">
        <f t="shared" si="32"/>
        <v>397.42857142857144</v>
      </c>
      <c r="DP9" s="125">
        <v>44168</v>
      </c>
      <c r="DQ9" s="2">
        <v>4474</v>
      </c>
      <c r="DR9" s="2">
        <v>3347</v>
      </c>
      <c r="EA9" s="145" t="s">
        <v>46</v>
      </c>
      <c r="EB9" s="146" t="b">
        <f t="shared" si="33"/>
        <v>0</v>
      </c>
      <c r="EC9" s="146" t="b">
        <f t="shared" si="34"/>
        <v>0</v>
      </c>
    </row>
    <row r="10" spans="2:133" x14ac:dyDescent="0.35">
      <c r="B10" s="28"/>
      <c r="C10" s="19">
        <v>5</v>
      </c>
      <c r="D10" s="2">
        <v>32705</v>
      </c>
      <c r="E10" s="2">
        <v>26016</v>
      </c>
      <c r="F10" s="28">
        <f t="shared" si="10"/>
        <v>0.79547469805840088</v>
      </c>
      <c r="H10" s="28"/>
      <c r="I10" s="19" t="s">
        <v>53</v>
      </c>
      <c r="J10" s="2">
        <v>4028</v>
      </c>
      <c r="K10" s="2">
        <v>2863</v>
      </c>
      <c r="L10" s="2">
        <v>10698</v>
      </c>
      <c r="M10" s="2">
        <v>9301</v>
      </c>
      <c r="N10" s="2">
        <v>6865</v>
      </c>
      <c r="O10" s="2">
        <v>5584</v>
      </c>
      <c r="P10" s="2">
        <v>5798</v>
      </c>
      <c r="Q10" s="2">
        <v>4330</v>
      </c>
      <c r="R10" s="2">
        <v>4943</v>
      </c>
      <c r="S10" s="2">
        <v>3804</v>
      </c>
      <c r="T10" s="2">
        <v>5669</v>
      </c>
      <c r="U10" s="2">
        <v>4635</v>
      </c>
      <c r="V10" s="2">
        <v>2859</v>
      </c>
      <c r="W10" s="2">
        <v>2065</v>
      </c>
      <c r="X10" s="2">
        <v>40860</v>
      </c>
      <c r="Y10" s="2">
        <v>32582</v>
      </c>
      <c r="Z10" s="2"/>
      <c r="AA10" s="28"/>
      <c r="AB10" s="20" t="s">
        <v>49</v>
      </c>
      <c r="AC10" s="28">
        <f t="shared" si="0"/>
        <v>0.86481113320079528</v>
      </c>
      <c r="AD10" s="28">
        <f>VLOOKUP($AB10,$I$8:$Y$1048576,5,FALSE)/VLOOKUP($AB10,$I$8:$Y$1048576,4,FALSE)</f>
        <v>0.92715231788079466</v>
      </c>
      <c r="AE10" s="28">
        <f t="shared" si="2"/>
        <v>0.84594508301404858</v>
      </c>
      <c r="AF10" s="28">
        <f t="shared" si="3"/>
        <v>0.7757831104597912</v>
      </c>
      <c r="AG10" s="28">
        <f t="shared" si="4"/>
        <v>0.91104022682970054</v>
      </c>
      <c r="AH10" s="28">
        <f>VLOOKUP($AB10,$I$8:$Y$1048576,15,FALSE)/VLOOKUP($AB10,$I$8:$Y$1048576,14,FALSE)</f>
        <v>0.8272425249169435</v>
      </c>
      <c r="AI10" s="28">
        <f t="shared" si="6"/>
        <v>0.853236098450319</v>
      </c>
      <c r="AJ10" s="28">
        <f t="shared" si="7"/>
        <v>0.82348932303498412</v>
      </c>
      <c r="AK10" s="45"/>
      <c r="AL10" s="45"/>
      <c r="AM10" s="28"/>
      <c r="AN10" s="19">
        <v>5</v>
      </c>
      <c r="AO10" s="2">
        <v>32705</v>
      </c>
      <c r="AP10" s="2">
        <v>26016</v>
      </c>
      <c r="AQ10" s="20">
        <f t="shared" si="35"/>
        <v>955.57142857142856</v>
      </c>
      <c r="AT10" s="19" t="s">
        <v>53</v>
      </c>
      <c r="AU10" s="2">
        <v>4028</v>
      </c>
      <c r="AV10" s="2">
        <v>2863</v>
      </c>
      <c r="AW10" s="2">
        <v>10698</v>
      </c>
      <c r="AX10" s="2">
        <v>9301</v>
      </c>
      <c r="AY10" s="2">
        <v>6865</v>
      </c>
      <c r="AZ10" s="2">
        <v>5584</v>
      </c>
      <c r="BA10" s="2">
        <v>5798</v>
      </c>
      <c r="BB10" s="2">
        <v>4330</v>
      </c>
      <c r="BC10" s="2">
        <v>4943</v>
      </c>
      <c r="BD10" s="2">
        <v>3804</v>
      </c>
      <c r="BE10" s="2">
        <v>5669</v>
      </c>
      <c r="BF10" s="2">
        <v>4635</v>
      </c>
      <c r="BG10" s="2">
        <v>2859</v>
      </c>
      <c r="BH10" s="2">
        <v>2065</v>
      </c>
      <c r="BI10" s="2">
        <v>40860</v>
      </c>
      <c r="BJ10" s="2">
        <v>32582</v>
      </c>
      <c r="BK10" s="2"/>
      <c r="BM10" s="20" t="s">
        <v>47</v>
      </c>
      <c r="BN10" s="25">
        <f t="shared" si="11"/>
        <v>955.57142857142856</v>
      </c>
      <c r="BO10" s="25">
        <f t="shared" si="12"/>
        <v>142</v>
      </c>
      <c r="BP10" s="25">
        <f t="shared" si="13"/>
        <v>193.71428571428572</v>
      </c>
      <c r="BQ10" s="25">
        <f t="shared" si="14"/>
        <v>183.57142857142858</v>
      </c>
      <c r="BR10" s="25">
        <f t="shared" si="15"/>
        <v>97.857142857142861</v>
      </c>
      <c r="BS10" s="25">
        <f t="shared" si="16"/>
        <v>99.285714285714292</v>
      </c>
      <c r="BT10" s="25">
        <f t="shared" si="17"/>
        <v>84.142857142857139</v>
      </c>
      <c r="BU10" s="25">
        <f t="shared" si="18"/>
        <v>155</v>
      </c>
      <c r="BZ10" s="19" t="s">
        <v>53</v>
      </c>
      <c r="CA10" s="2">
        <v>4028</v>
      </c>
      <c r="CB10" s="2">
        <v>2863</v>
      </c>
      <c r="CC10" s="2">
        <v>10698</v>
      </c>
      <c r="CD10" s="2">
        <v>9301</v>
      </c>
      <c r="CE10" s="2">
        <v>6865</v>
      </c>
      <c r="CF10" s="2">
        <v>5584</v>
      </c>
      <c r="CG10" s="2">
        <v>5798</v>
      </c>
      <c r="CH10" s="2">
        <v>4330</v>
      </c>
      <c r="CI10" s="2">
        <v>4943</v>
      </c>
      <c r="CJ10" s="2">
        <v>3804</v>
      </c>
      <c r="CK10" s="2">
        <v>5669</v>
      </c>
      <c r="CL10" s="2">
        <v>4635</v>
      </c>
      <c r="CM10" s="2">
        <v>2859</v>
      </c>
      <c r="CN10" s="2">
        <v>2065</v>
      </c>
      <c r="CO10" s="2">
        <v>40860</v>
      </c>
      <c r="CP10" s="2">
        <v>32582</v>
      </c>
      <c r="CS10" s="20" t="s">
        <v>47</v>
      </c>
      <c r="CT10" s="146">
        <f t="shared" si="19"/>
        <v>4672.1428571428569</v>
      </c>
      <c r="CU10" s="146">
        <f t="shared" si="20"/>
        <v>1157.8571428571429</v>
      </c>
      <c r="CV10" s="146">
        <f t="shared" si="21"/>
        <v>772.14285714285711</v>
      </c>
      <c r="CW10" s="146">
        <f t="shared" si="22"/>
        <v>688.14285714285711</v>
      </c>
      <c r="CX10" s="146">
        <f t="shared" si="23"/>
        <v>645</v>
      </c>
      <c r="CY10" s="146">
        <f t="shared" si="24"/>
        <v>327.85714285714283</v>
      </c>
      <c r="CZ10" s="146">
        <f t="shared" si="25"/>
        <v>501.14285714285717</v>
      </c>
      <c r="DA10" s="146">
        <f t="shared" si="26"/>
        <v>580</v>
      </c>
      <c r="DD10" s="20" t="s">
        <v>47</v>
      </c>
      <c r="DE10" s="146">
        <f t="shared" si="8"/>
        <v>3716.5714285714284</v>
      </c>
      <c r="DF10" s="146">
        <f t="shared" si="9"/>
        <v>1015.8571428571429</v>
      </c>
      <c r="DG10" s="146">
        <f t="shared" si="27"/>
        <v>578.42857142857144</v>
      </c>
      <c r="DH10" s="146">
        <f t="shared" si="28"/>
        <v>504.57142857142856</v>
      </c>
      <c r="DI10" s="146">
        <f t="shared" si="29"/>
        <v>547.14285714285711</v>
      </c>
      <c r="DJ10" s="146">
        <f t="shared" si="30"/>
        <v>228.57142857142858</v>
      </c>
      <c r="DK10" s="146">
        <f t="shared" si="31"/>
        <v>417</v>
      </c>
      <c r="DL10" s="146">
        <f t="shared" si="32"/>
        <v>425</v>
      </c>
      <c r="DP10" s="125">
        <v>44169</v>
      </c>
      <c r="DQ10" s="2">
        <v>4490</v>
      </c>
      <c r="DR10" s="2">
        <v>3318</v>
      </c>
      <c r="EA10" s="145" t="s">
        <v>47</v>
      </c>
      <c r="EB10" s="146" t="b">
        <f t="shared" si="33"/>
        <v>0</v>
      </c>
      <c r="EC10" s="146" t="b">
        <f t="shared" si="34"/>
        <v>0</v>
      </c>
    </row>
    <row r="11" spans="2:133" x14ac:dyDescent="0.35">
      <c r="B11" s="28"/>
      <c r="C11" s="19">
        <v>6</v>
      </c>
      <c r="D11" s="2">
        <v>35942</v>
      </c>
      <c r="E11" s="2">
        <v>29986</v>
      </c>
      <c r="F11" s="28">
        <f t="shared" si="10"/>
        <v>0.83428857603917428</v>
      </c>
      <c r="H11" s="28"/>
      <c r="I11" s="19" t="s">
        <v>54</v>
      </c>
      <c r="J11" s="2">
        <v>3749</v>
      </c>
      <c r="K11" s="2">
        <v>2658</v>
      </c>
      <c r="L11" s="2">
        <v>9948</v>
      </c>
      <c r="M11" s="2">
        <v>8441</v>
      </c>
      <c r="N11" s="2">
        <v>6476</v>
      </c>
      <c r="O11" s="2">
        <v>5098</v>
      </c>
      <c r="P11" s="2">
        <v>5876</v>
      </c>
      <c r="Q11" s="2">
        <v>4362</v>
      </c>
      <c r="R11" s="2">
        <v>4928</v>
      </c>
      <c r="S11" s="2">
        <v>3735</v>
      </c>
      <c r="T11" s="2">
        <v>5469</v>
      </c>
      <c r="U11" s="2">
        <v>4174</v>
      </c>
      <c r="V11" s="2">
        <v>2760</v>
      </c>
      <c r="W11" s="2">
        <v>1872</v>
      </c>
      <c r="X11" s="2">
        <v>39206</v>
      </c>
      <c r="Y11" s="2">
        <v>30340</v>
      </c>
      <c r="Z11" s="2"/>
      <c r="AA11" s="28"/>
      <c r="AB11" s="20" t="s">
        <v>50</v>
      </c>
      <c r="AC11" s="28">
        <f t="shared" si="0"/>
        <v>0.87135040799962271</v>
      </c>
      <c r="AD11" s="28">
        <f t="shared" si="1"/>
        <v>0.93191865605658708</v>
      </c>
      <c r="AE11" s="28">
        <f t="shared" si="2"/>
        <v>0.86080273270708796</v>
      </c>
      <c r="AF11" s="28">
        <f t="shared" si="3"/>
        <v>0.78780401832922098</v>
      </c>
      <c r="AG11" s="28">
        <f t="shared" si="4"/>
        <v>0.91097778498459547</v>
      </c>
      <c r="AH11" s="28">
        <f t="shared" si="5"/>
        <v>0.82344827586206892</v>
      </c>
      <c r="AI11" s="28">
        <f t="shared" si="6"/>
        <v>0.86111111111111116</v>
      </c>
      <c r="AJ11" s="28">
        <f>VLOOKUP($AB11,$I$8:$Y$1048576,11,FALSE)/VLOOKUP($AB11,$I$8:$Y$1048576,10,FALSE)</f>
        <v>0.83044476926289412</v>
      </c>
      <c r="AK11" s="45"/>
      <c r="AL11" s="45"/>
      <c r="AM11" s="28"/>
      <c r="AN11" s="19">
        <v>6</v>
      </c>
      <c r="AO11" s="2">
        <v>35942</v>
      </c>
      <c r="AP11" s="2">
        <v>29986</v>
      </c>
      <c r="AQ11" s="20">
        <f t="shared" si="35"/>
        <v>850.85714285714289</v>
      </c>
      <c r="AR11" s="20"/>
      <c r="AT11" s="19" t="s">
        <v>54</v>
      </c>
      <c r="AU11" s="2">
        <v>3749</v>
      </c>
      <c r="AV11" s="2">
        <v>2658</v>
      </c>
      <c r="AW11" s="2">
        <v>9948</v>
      </c>
      <c r="AX11" s="2">
        <v>8441</v>
      </c>
      <c r="AY11" s="2">
        <v>6476</v>
      </c>
      <c r="AZ11" s="2">
        <v>5098</v>
      </c>
      <c r="BA11" s="2">
        <v>5876</v>
      </c>
      <c r="BB11" s="2">
        <v>4362</v>
      </c>
      <c r="BC11" s="2">
        <v>4928</v>
      </c>
      <c r="BD11" s="2">
        <v>3735</v>
      </c>
      <c r="BE11" s="2">
        <v>5469</v>
      </c>
      <c r="BF11" s="2">
        <v>4174</v>
      </c>
      <c r="BG11" s="2">
        <v>2760</v>
      </c>
      <c r="BH11" s="2">
        <v>1872</v>
      </c>
      <c r="BI11" s="2">
        <v>39206</v>
      </c>
      <c r="BJ11" s="2">
        <v>30340</v>
      </c>
      <c r="BK11" s="2"/>
      <c r="BM11" s="20" t="s">
        <v>48</v>
      </c>
      <c r="BN11" s="25">
        <f t="shared" si="11"/>
        <v>850.85714285714289</v>
      </c>
      <c r="BO11" s="25">
        <f t="shared" si="12"/>
        <v>166.14285714285714</v>
      </c>
      <c r="BP11" s="25">
        <f t="shared" si="13"/>
        <v>162.57142857142858</v>
      </c>
      <c r="BQ11" s="25">
        <f t="shared" si="14"/>
        <v>177.57142857142858</v>
      </c>
      <c r="BR11" s="25">
        <f t="shared" si="15"/>
        <v>75.142857142857139</v>
      </c>
      <c r="BS11" s="25">
        <f t="shared" si="16"/>
        <v>74.571428571428569</v>
      </c>
      <c r="BT11" s="25">
        <f t="shared" si="17"/>
        <v>74.714285714285708</v>
      </c>
      <c r="BU11" s="25">
        <f t="shared" si="18"/>
        <v>120.14285714285714</v>
      </c>
      <c r="BZ11" s="19" t="s">
        <v>54</v>
      </c>
      <c r="CA11" s="2">
        <v>3749</v>
      </c>
      <c r="CB11" s="2">
        <v>2658</v>
      </c>
      <c r="CC11" s="2">
        <v>9948</v>
      </c>
      <c r="CD11" s="2">
        <v>8441</v>
      </c>
      <c r="CE11" s="2">
        <v>6476</v>
      </c>
      <c r="CF11" s="2">
        <v>5098</v>
      </c>
      <c r="CG11" s="2">
        <v>5876</v>
      </c>
      <c r="CH11" s="2">
        <v>4362</v>
      </c>
      <c r="CI11" s="2">
        <v>4928</v>
      </c>
      <c r="CJ11" s="2">
        <v>3735</v>
      </c>
      <c r="CK11" s="2">
        <v>5469</v>
      </c>
      <c r="CL11" s="2">
        <v>4174</v>
      </c>
      <c r="CM11" s="2">
        <v>2760</v>
      </c>
      <c r="CN11" s="2">
        <v>1872</v>
      </c>
      <c r="CO11" s="2">
        <v>39206</v>
      </c>
      <c r="CP11" s="2">
        <v>30340</v>
      </c>
      <c r="CS11" s="20" t="s">
        <v>48</v>
      </c>
      <c r="CT11" s="146">
        <f t="shared" si="19"/>
        <v>5134.5714285714284</v>
      </c>
      <c r="CU11" s="146">
        <f t="shared" si="20"/>
        <v>1370.2857142857142</v>
      </c>
      <c r="CV11" s="146">
        <f t="shared" si="21"/>
        <v>816.57142857142856</v>
      </c>
      <c r="CW11" s="146">
        <f t="shared" si="22"/>
        <v>727.71428571428567</v>
      </c>
      <c r="CX11" s="146">
        <f t="shared" si="23"/>
        <v>711.28571428571433</v>
      </c>
      <c r="CY11" s="146">
        <f t="shared" si="24"/>
        <v>341.57142857142856</v>
      </c>
      <c r="CZ11" s="146">
        <f t="shared" si="25"/>
        <v>576.71428571428567</v>
      </c>
      <c r="DA11" s="146">
        <f t="shared" si="26"/>
        <v>590.42857142857144</v>
      </c>
      <c r="DD11" s="20" t="s">
        <v>48</v>
      </c>
      <c r="DE11" s="146">
        <f t="shared" si="8"/>
        <v>4283.7142857142853</v>
      </c>
      <c r="DF11" s="146">
        <f t="shared" si="9"/>
        <v>1204.1428571428571</v>
      </c>
      <c r="DG11" s="146">
        <f t="shared" si="27"/>
        <v>654</v>
      </c>
      <c r="DH11" s="146">
        <f t="shared" si="28"/>
        <v>550.14285714285711</v>
      </c>
      <c r="DI11" s="146">
        <f t="shared" si="29"/>
        <v>636.14285714285711</v>
      </c>
      <c r="DJ11" s="146">
        <f t="shared" si="30"/>
        <v>267</v>
      </c>
      <c r="DK11" s="146">
        <f t="shared" si="31"/>
        <v>502</v>
      </c>
      <c r="DL11" s="146">
        <f t="shared" si="32"/>
        <v>470.28571428571428</v>
      </c>
      <c r="DP11" s="125">
        <v>44170</v>
      </c>
      <c r="DQ11" s="2">
        <v>4413</v>
      </c>
      <c r="DR11" s="2">
        <v>3225</v>
      </c>
      <c r="EA11" s="145" t="s">
        <v>48</v>
      </c>
      <c r="EB11" s="146" t="b">
        <f t="shared" si="33"/>
        <v>0</v>
      </c>
      <c r="EC11" s="146" t="b">
        <f t="shared" si="34"/>
        <v>0</v>
      </c>
    </row>
    <row r="12" spans="2:133" x14ac:dyDescent="0.35">
      <c r="B12" s="28"/>
      <c r="C12" s="19">
        <v>7</v>
      </c>
      <c r="D12" s="2">
        <v>39737</v>
      </c>
      <c r="E12" s="2">
        <v>34365</v>
      </c>
      <c r="F12" s="28">
        <f t="shared" si="10"/>
        <v>0.86481113320079528</v>
      </c>
      <c r="H12" s="28"/>
      <c r="I12" s="19" t="s">
        <v>55</v>
      </c>
      <c r="J12" s="2">
        <v>3469</v>
      </c>
      <c r="K12" s="2">
        <v>2456</v>
      </c>
      <c r="L12" s="2">
        <v>9083</v>
      </c>
      <c r="M12" s="2">
        <v>7584</v>
      </c>
      <c r="N12" s="2">
        <v>6211</v>
      </c>
      <c r="O12" s="2">
        <v>4766</v>
      </c>
      <c r="P12" s="2">
        <v>5806</v>
      </c>
      <c r="Q12" s="2">
        <v>4181</v>
      </c>
      <c r="R12" s="2">
        <v>4707</v>
      </c>
      <c r="S12" s="2">
        <v>3491</v>
      </c>
      <c r="T12" s="2">
        <v>5186</v>
      </c>
      <c r="U12" s="2">
        <v>3787</v>
      </c>
      <c r="V12" s="2">
        <v>2706</v>
      </c>
      <c r="W12" s="2">
        <v>1712</v>
      </c>
      <c r="X12" s="2">
        <v>37168</v>
      </c>
      <c r="Y12" s="2">
        <v>27977</v>
      </c>
      <c r="Z12" s="2"/>
      <c r="AA12" s="28"/>
      <c r="AB12" s="20" t="s">
        <v>51</v>
      </c>
      <c r="AC12" s="28">
        <f t="shared" si="0"/>
        <v>0.8617799345236713</v>
      </c>
      <c r="AD12" s="28">
        <f t="shared" si="1"/>
        <v>0.92398277528781092</v>
      </c>
      <c r="AE12" s="28">
        <f t="shared" si="2"/>
        <v>0.86628793127338233</v>
      </c>
      <c r="AF12" s="28">
        <f t="shared" si="3"/>
        <v>0.78861927546138078</v>
      </c>
      <c r="AG12" s="28">
        <f t="shared" si="4"/>
        <v>0.90268401119710195</v>
      </c>
      <c r="AH12" s="28">
        <f t="shared" si="5"/>
        <v>0.79359786595531845</v>
      </c>
      <c r="AI12" s="28">
        <f t="shared" si="6"/>
        <v>0.8597114317425083</v>
      </c>
      <c r="AJ12" s="28">
        <f t="shared" si="7"/>
        <v>0.79302141157811257</v>
      </c>
      <c r="AK12" s="45"/>
      <c r="AL12" s="45"/>
      <c r="AM12" s="28"/>
      <c r="AN12" s="19">
        <v>7</v>
      </c>
      <c r="AO12" s="2">
        <v>39737</v>
      </c>
      <c r="AP12" s="2">
        <v>34365</v>
      </c>
      <c r="AQ12" s="20">
        <f t="shared" si="35"/>
        <v>767.42857142857144</v>
      </c>
      <c r="AR12" s="20"/>
      <c r="AT12" s="19" t="s">
        <v>55</v>
      </c>
      <c r="AU12" s="2">
        <v>3469</v>
      </c>
      <c r="AV12" s="2">
        <v>2456</v>
      </c>
      <c r="AW12" s="2">
        <v>9083</v>
      </c>
      <c r="AX12" s="2">
        <v>7584</v>
      </c>
      <c r="AY12" s="2">
        <v>6211</v>
      </c>
      <c r="AZ12" s="2">
        <v>4766</v>
      </c>
      <c r="BA12" s="2">
        <v>5806</v>
      </c>
      <c r="BB12" s="2">
        <v>4181</v>
      </c>
      <c r="BC12" s="2">
        <v>4707</v>
      </c>
      <c r="BD12" s="2">
        <v>3491</v>
      </c>
      <c r="BE12" s="2">
        <v>5186</v>
      </c>
      <c r="BF12" s="2">
        <v>3787</v>
      </c>
      <c r="BG12" s="2">
        <v>2706</v>
      </c>
      <c r="BH12" s="2">
        <v>1712</v>
      </c>
      <c r="BI12" s="2">
        <v>37168</v>
      </c>
      <c r="BJ12" s="2">
        <v>27977</v>
      </c>
      <c r="BK12" s="2"/>
      <c r="BM12" s="20" t="s">
        <v>49</v>
      </c>
      <c r="BN12" s="25">
        <f t="shared" si="11"/>
        <v>767.42857142857144</v>
      </c>
      <c r="BO12" s="25">
        <f t="shared" si="12"/>
        <v>113.14285714285714</v>
      </c>
      <c r="BP12" s="25">
        <f t="shared" si="13"/>
        <v>137.85714285714286</v>
      </c>
      <c r="BQ12" s="25">
        <f>(VLOOKUP($BM12,$AT$8:$BJ$1048576,8,FALSE)-VLOOKUP($BM12,$AT$8:$BJ$1048576,9,FALSE))/7</f>
        <v>174.85714285714286</v>
      </c>
      <c r="BR12" s="25">
        <f t="shared" si="15"/>
        <v>71.714285714285708</v>
      </c>
      <c r="BS12" s="25">
        <f t="shared" si="16"/>
        <v>66.857142857142861</v>
      </c>
      <c r="BT12" s="25">
        <f t="shared" si="17"/>
        <v>92</v>
      </c>
      <c r="BU12" s="25">
        <f t="shared" si="18"/>
        <v>111</v>
      </c>
      <c r="BZ12" s="19" t="s">
        <v>55</v>
      </c>
      <c r="CA12" s="2">
        <v>3469</v>
      </c>
      <c r="CB12" s="2">
        <v>2456</v>
      </c>
      <c r="CC12" s="2">
        <v>9083</v>
      </c>
      <c r="CD12" s="2">
        <v>7584</v>
      </c>
      <c r="CE12" s="2">
        <v>6211</v>
      </c>
      <c r="CF12" s="2">
        <v>4766</v>
      </c>
      <c r="CG12" s="2">
        <v>5806</v>
      </c>
      <c r="CH12" s="2">
        <v>4181</v>
      </c>
      <c r="CI12" s="2">
        <v>4707</v>
      </c>
      <c r="CJ12" s="2">
        <v>3491</v>
      </c>
      <c r="CK12" s="2">
        <v>5186</v>
      </c>
      <c r="CL12" s="2">
        <v>3787</v>
      </c>
      <c r="CM12" s="2">
        <v>2706</v>
      </c>
      <c r="CN12" s="2">
        <v>1712</v>
      </c>
      <c r="CO12" s="2">
        <v>37168</v>
      </c>
      <c r="CP12" s="2">
        <v>27977</v>
      </c>
      <c r="CS12" s="20" t="s">
        <v>49</v>
      </c>
      <c r="CT12" s="146">
        <f t="shared" si="19"/>
        <v>5676.7142857142853</v>
      </c>
      <c r="CU12" s="146">
        <f t="shared" si="20"/>
        <v>1553.1428571428571</v>
      </c>
      <c r="CV12" s="146">
        <f t="shared" si="21"/>
        <v>894.85714285714289</v>
      </c>
      <c r="CW12" s="146">
        <f t="shared" si="22"/>
        <v>779.85714285714289</v>
      </c>
      <c r="CX12" s="146">
        <f t="shared" si="23"/>
        <v>806.14285714285711</v>
      </c>
      <c r="CY12" s="146">
        <f t="shared" si="24"/>
        <v>387</v>
      </c>
      <c r="CZ12" s="146">
        <f t="shared" si="25"/>
        <v>626.85714285714289</v>
      </c>
      <c r="DA12" s="146">
        <f t="shared" si="26"/>
        <v>628.85714285714289</v>
      </c>
      <c r="DD12" s="20" t="s">
        <v>49</v>
      </c>
      <c r="DE12" s="146">
        <f t="shared" si="8"/>
        <v>4909.2857142857147</v>
      </c>
      <c r="DF12" s="146">
        <f t="shared" si="9"/>
        <v>1440</v>
      </c>
      <c r="DG12" s="146">
        <f t="shared" si="27"/>
        <v>757</v>
      </c>
      <c r="DH12" s="146">
        <f t="shared" si="28"/>
        <v>605</v>
      </c>
      <c r="DI12" s="146">
        <f t="shared" si="29"/>
        <v>734.42857142857144</v>
      </c>
      <c r="DJ12" s="146">
        <f t="shared" si="30"/>
        <v>320.14285714285717</v>
      </c>
      <c r="DK12" s="146">
        <f t="shared" si="31"/>
        <v>534.85714285714289</v>
      </c>
      <c r="DL12" s="146">
        <f t="shared" si="32"/>
        <v>517.85714285714289</v>
      </c>
      <c r="DP12" s="125">
        <v>44171</v>
      </c>
      <c r="DQ12" s="2">
        <v>4466</v>
      </c>
      <c r="DR12" s="2">
        <v>3226</v>
      </c>
      <c r="EA12" s="20" t="s">
        <v>49</v>
      </c>
      <c r="EB12" s="146" t="b">
        <f t="shared" si="33"/>
        <v>0</v>
      </c>
      <c r="EC12" s="146" t="b">
        <f t="shared" si="34"/>
        <v>0</v>
      </c>
    </row>
    <row r="13" spans="2:133" x14ac:dyDescent="0.35">
      <c r="B13" s="28"/>
      <c r="C13" s="19">
        <v>8</v>
      </c>
      <c r="D13" s="2">
        <v>42402</v>
      </c>
      <c r="E13" s="2">
        <v>36947</v>
      </c>
      <c r="F13" s="28">
        <f t="shared" si="10"/>
        <v>0.87135040799962271</v>
      </c>
      <c r="H13" s="28"/>
      <c r="I13" s="19" t="s">
        <v>44</v>
      </c>
      <c r="J13" s="2">
        <v>2683</v>
      </c>
      <c r="K13" s="2">
        <v>2088</v>
      </c>
      <c r="L13" s="2">
        <v>7051</v>
      </c>
      <c r="M13" s="2">
        <v>5871</v>
      </c>
      <c r="N13" s="2">
        <v>5547</v>
      </c>
      <c r="O13" s="2">
        <v>4085</v>
      </c>
      <c r="P13" s="2">
        <v>5061</v>
      </c>
      <c r="Q13" s="2">
        <v>3590</v>
      </c>
      <c r="R13" s="2">
        <v>4257</v>
      </c>
      <c r="S13" s="2">
        <v>2988</v>
      </c>
      <c r="T13" s="2">
        <v>3976</v>
      </c>
      <c r="U13" s="2">
        <v>3005</v>
      </c>
      <c r="V13" s="2">
        <v>2440</v>
      </c>
      <c r="W13" s="2">
        <v>1687</v>
      </c>
      <c r="X13" s="2">
        <v>31015</v>
      </c>
      <c r="Y13" s="2">
        <v>23314</v>
      </c>
      <c r="Z13" s="2"/>
      <c r="AA13" s="28"/>
      <c r="AB13" s="20" t="s">
        <v>52</v>
      </c>
      <c r="AC13" s="28">
        <f t="shared" si="0"/>
        <v>0.83258975993201612</v>
      </c>
      <c r="AD13" s="28">
        <f t="shared" si="1"/>
        <v>0.89847806624888094</v>
      </c>
      <c r="AE13" s="28">
        <f t="shared" si="2"/>
        <v>0.83798492883058884</v>
      </c>
      <c r="AF13" s="28">
        <f t="shared" si="3"/>
        <v>0.76863406408094437</v>
      </c>
      <c r="AG13" s="28">
        <f t="shared" si="4"/>
        <v>0.85969431564485665</v>
      </c>
      <c r="AH13" s="28">
        <f t="shared" si="5"/>
        <v>0.79329041003049816</v>
      </c>
      <c r="AI13" s="28">
        <f t="shared" si="6"/>
        <v>0.7871252614455031</v>
      </c>
      <c r="AJ13" s="28">
        <f>VLOOKUP($AB13,$I$8:$Y$1048576,11,FALSE)/VLOOKUP($AB13,$I$8:$Y$1048576,10,FALSE)</f>
        <v>0.78446215139442232</v>
      </c>
      <c r="AK13" s="45"/>
      <c r="AL13" s="45"/>
      <c r="AM13" s="28"/>
      <c r="AN13" s="19">
        <v>8</v>
      </c>
      <c r="AO13" s="2">
        <v>42402</v>
      </c>
      <c r="AP13" s="2">
        <v>36947</v>
      </c>
      <c r="AQ13" s="20">
        <f t="shared" si="35"/>
        <v>779.28571428571433</v>
      </c>
      <c r="AR13" s="20"/>
      <c r="AT13" s="19" t="s">
        <v>44</v>
      </c>
      <c r="AU13" s="2">
        <v>2683</v>
      </c>
      <c r="AV13" s="2">
        <v>2088</v>
      </c>
      <c r="AW13" s="2">
        <v>7051</v>
      </c>
      <c r="AX13" s="2">
        <v>5871</v>
      </c>
      <c r="AY13" s="2">
        <v>5547</v>
      </c>
      <c r="AZ13" s="2">
        <v>4085</v>
      </c>
      <c r="BA13" s="2">
        <v>5061</v>
      </c>
      <c r="BB13" s="2">
        <v>3590</v>
      </c>
      <c r="BC13" s="2">
        <v>4257</v>
      </c>
      <c r="BD13" s="2">
        <v>2988</v>
      </c>
      <c r="BE13" s="2">
        <v>3976</v>
      </c>
      <c r="BF13" s="2">
        <v>3005</v>
      </c>
      <c r="BG13" s="2">
        <v>2440</v>
      </c>
      <c r="BH13" s="2">
        <v>1687</v>
      </c>
      <c r="BI13" s="2">
        <v>31015</v>
      </c>
      <c r="BJ13" s="2">
        <v>23314</v>
      </c>
      <c r="BK13" s="2"/>
      <c r="BM13" s="20" t="s">
        <v>50</v>
      </c>
      <c r="BN13" s="25">
        <f t="shared" si="11"/>
        <v>779.28571428571433</v>
      </c>
      <c r="BO13" s="25">
        <f t="shared" si="12"/>
        <v>110</v>
      </c>
      <c r="BP13" s="25">
        <f t="shared" si="13"/>
        <v>139.71428571428572</v>
      </c>
      <c r="BQ13" s="25">
        <f t="shared" si="14"/>
        <v>172</v>
      </c>
      <c r="BR13" s="25">
        <f t="shared" si="15"/>
        <v>78.428571428571431</v>
      </c>
      <c r="BS13" s="25">
        <f t="shared" si="16"/>
        <v>73.142857142857139</v>
      </c>
      <c r="BT13" s="25">
        <f t="shared" si="17"/>
        <v>90</v>
      </c>
      <c r="BU13" s="25">
        <f t="shared" si="18"/>
        <v>116</v>
      </c>
      <c r="BZ13" s="19" t="s">
        <v>44</v>
      </c>
      <c r="CA13" s="2">
        <v>2683</v>
      </c>
      <c r="CB13" s="2">
        <v>2088</v>
      </c>
      <c r="CC13" s="2">
        <v>7051</v>
      </c>
      <c r="CD13" s="2">
        <v>5871</v>
      </c>
      <c r="CE13" s="2">
        <v>5547</v>
      </c>
      <c r="CF13" s="2">
        <v>4085</v>
      </c>
      <c r="CG13" s="2">
        <v>5061</v>
      </c>
      <c r="CH13" s="2">
        <v>3590</v>
      </c>
      <c r="CI13" s="2">
        <v>4257</v>
      </c>
      <c r="CJ13" s="2">
        <v>2988</v>
      </c>
      <c r="CK13" s="2">
        <v>3976</v>
      </c>
      <c r="CL13" s="2">
        <v>3005</v>
      </c>
      <c r="CM13" s="2">
        <v>2440</v>
      </c>
      <c r="CN13" s="2">
        <v>1687</v>
      </c>
      <c r="CO13" s="2">
        <v>31015</v>
      </c>
      <c r="CP13" s="2">
        <v>23314</v>
      </c>
      <c r="CS13" s="20" t="s">
        <v>50</v>
      </c>
      <c r="CT13" s="146">
        <f t="shared" si="19"/>
        <v>6057.4285714285716</v>
      </c>
      <c r="CU13" s="146">
        <f t="shared" si="20"/>
        <v>1615.7142857142858</v>
      </c>
      <c r="CV13" s="146">
        <f t="shared" si="21"/>
        <v>1003.7142857142857</v>
      </c>
      <c r="CW13" s="146">
        <f t="shared" si="22"/>
        <v>810.57142857142856</v>
      </c>
      <c r="CX13" s="146">
        <f t="shared" si="23"/>
        <v>881</v>
      </c>
      <c r="CY13" s="146">
        <f t="shared" si="24"/>
        <v>414.28571428571428</v>
      </c>
      <c r="CZ13" s="146">
        <f t="shared" si="25"/>
        <v>648</v>
      </c>
      <c r="DA13" s="146">
        <f t="shared" si="26"/>
        <v>684.14285714285711</v>
      </c>
      <c r="DD13" s="20" t="s">
        <v>50</v>
      </c>
      <c r="DE13" s="146">
        <f t="shared" si="8"/>
        <v>5278.1428571428569</v>
      </c>
      <c r="DF13" s="146">
        <f t="shared" si="9"/>
        <v>1505.7142857142858</v>
      </c>
      <c r="DG13" s="146">
        <f t="shared" si="27"/>
        <v>864</v>
      </c>
      <c r="DH13" s="146">
        <f t="shared" si="28"/>
        <v>638.57142857142856</v>
      </c>
      <c r="DI13" s="146">
        <f t="shared" si="29"/>
        <v>802.57142857142856</v>
      </c>
      <c r="DJ13" s="146">
        <f t="shared" si="30"/>
        <v>341.14285714285717</v>
      </c>
      <c r="DK13" s="146">
        <f t="shared" si="31"/>
        <v>558</v>
      </c>
      <c r="DL13" s="146">
        <f t="shared" si="32"/>
        <v>568.14285714285711</v>
      </c>
      <c r="DP13" s="125">
        <v>44172</v>
      </c>
      <c r="DQ13" s="2">
        <v>4406</v>
      </c>
      <c r="DR13" s="2">
        <v>3240</v>
      </c>
      <c r="EA13" s="20" t="s">
        <v>50</v>
      </c>
      <c r="EB13" s="146" t="b">
        <f t="shared" si="33"/>
        <v>0</v>
      </c>
      <c r="EC13" s="146" t="b">
        <f t="shared" si="34"/>
        <v>0</v>
      </c>
    </row>
    <row r="14" spans="2:133" x14ac:dyDescent="0.35">
      <c r="B14" s="28"/>
      <c r="C14" s="19">
        <v>9</v>
      </c>
      <c r="D14" s="2">
        <v>43069</v>
      </c>
      <c r="E14" s="2">
        <v>37116</v>
      </c>
      <c r="F14" s="28">
        <f t="shared" si="10"/>
        <v>0.8617799345236713</v>
      </c>
      <c r="H14" s="28"/>
      <c r="I14" s="19" t="s">
        <v>45</v>
      </c>
      <c r="J14" s="2">
        <v>2691</v>
      </c>
      <c r="K14" s="2">
        <v>2101</v>
      </c>
      <c r="L14" s="2">
        <v>6930</v>
      </c>
      <c r="M14" s="2">
        <v>5966</v>
      </c>
      <c r="N14" s="2">
        <v>5281</v>
      </c>
      <c r="O14" s="2">
        <v>3766</v>
      </c>
      <c r="P14" s="2">
        <v>4949</v>
      </c>
      <c r="Q14" s="2">
        <v>3575</v>
      </c>
      <c r="R14" s="2">
        <v>4116</v>
      </c>
      <c r="S14" s="2">
        <v>2934</v>
      </c>
      <c r="T14" s="2">
        <v>3953</v>
      </c>
      <c r="U14" s="2">
        <v>3154</v>
      </c>
      <c r="V14" s="2">
        <v>2203</v>
      </c>
      <c r="W14" s="2">
        <v>1711</v>
      </c>
      <c r="X14" s="2">
        <v>30123</v>
      </c>
      <c r="Y14" s="2">
        <v>23207</v>
      </c>
      <c r="Z14" s="2"/>
      <c r="AA14" s="28"/>
      <c r="AB14" s="20" t="s">
        <v>53</v>
      </c>
      <c r="AC14" s="28">
        <f t="shared" si="0"/>
        <v>0.79740577581987271</v>
      </c>
      <c r="AD14" s="28">
        <f t="shared" si="1"/>
        <v>0.86941484389605539</v>
      </c>
      <c r="AE14" s="28">
        <f t="shared" si="2"/>
        <v>0.81340131099781499</v>
      </c>
      <c r="AF14" s="28">
        <f t="shared" si="3"/>
        <v>0.74680924456709208</v>
      </c>
      <c r="AG14" s="28">
        <f t="shared" si="4"/>
        <v>0.81760451578761684</v>
      </c>
      <c r="AH14" s="28">
        <f t="shared" si="5"/>
        <v>0.72228051766351875</v>
      </c>
      <c r="AI14" s="28">
        <f t="shared" si="6"/>
        <v>0.71077457795431975</v>
      </c>
      <c r="AJ14" s="28">
        <f t="shared" si="7"/>
        <v>0.76957313372445879</v>
      </c>
      <c r="AK14" s="45"/>
      <c r="AL14" s="45"/>
      <c r="AM14" s="28"/>
      <c r="AN14" s="19">
        <v>9</v>
      </c>
      <c r="AO14" s="2">
        <v>43069</v>
      </c>
      <c r="AP14" s="2">
        <v>37116</v>
      </c>
      <c r="AQ14" s="20">
        <f t="shared" si="35"/>
        <v>850.42857142857144</v>
      </c>
      <c r="AR14" s="20"/>
      <c r="AT14" s="19" t="s">
        <v>45</v>
      </c>
      <c r="AU14" s="2">
        <v>2691</v>
      </c>
      <c r="AV14" s="2">
        <v>2101</v>
      </c>
      <c r="AW14" s="2">
        <v>6930</v>
      </c>
      <c r="AX14" s="2">
        <v>5966</v>
      </c>
      <c r="AY14" s="2">
        <v>5281</v>
      </c>
      <c r="AZ14" s="2">
        <v>3766</v>
      </c>
      <c r="BA14" s="2">
        <v>4949</v>
      </c>
      <c r="BB14" s="2">
        <v>3575</v>
      </c>
      <c r="BC14" s="2">
        <v>4116</v>
      </c>
      <c r="BD14" s="2">
        <v>2934</v>
      </c>
      <c r="BE14" s="2">
        <v>3953</v>
      </c>
      <c r="BF14" s="2">
        <v>3154</v>
      </c>
      <c r="BG14" s="2">
        <v>2203</v>
      </c>
      <c r="BH14" s="2">
        <v>1711</v>
      </c>
      <c r="BI14" s="2">
        <v>30123</v>
      </c>
      <c r="BJ14" s="2">
        <v>23207</v>
      </c>
      <c r="BK14" s="2"/>
      <c r="BM14" s="20" t="s">
        <v>51</v>
      </c>
      <c r="BN14" s="25">
        <f t="shared" si="11"/>
        <v>850.42857142857144</v>
      </c>
      <c r="BO14" s="25">
        <f t="shared" si="12"/>
        <v>123.57142857142857</v>
      </c>
      <c r="BP14" s="25">
        <f t="shared" si="13"/>
        <v>137.85714285714286</v>
      </c>
      <c r="BQ14" s="25">
        <f t="shared" si="14"/>
        <v>176.71428571428572</v>
      </c>
      <c r="BR14" s="25">
        <f t="shared" si="15"/>
        <v>84.428571428571431</v>
      </c>
      <c r="BS14" s="25">
        <f t="shared" si="16"/>
        <v>88.428571428571431</v>
      </c>
      <c r="BT14" s="25">
        <f t="shared" si="17"/>
        <v>90.285714285714292</v>
      </c>
      <c r="BU14" s="25">
        <f t="shared" si="18"/>
        <v>149.14285714285714</v>
      </c>
      <c r="BZ14" s="19" t="s">
        <v>45</v>
      </c>
      <c r="CA14" s="2">
        <v>2691</v>
      </c>
      <c r="CB14" s="2">
        <v>2101</v>
      </c>
      <c r="CC14" s="2">
        <v>6930</v>
      </c>
      <c r="CD14" s="2">
        <v>5966</v>
      </c>
      <c r="CE14" s="2">
        <v>5281</v>
      </c>
      <c r="CF14" s="2">
        <v>3766</v>
      </c>
      <c r="CG14" s="2">
        <v>4949</v>
      </c>
      <c r="CH14" s="2">
        <v>3575</v>
      </c>
      <c r="CI14" s="2">
        <v>4116</v>
      </c>
      <c r="CJ14" s="2">
        <v>2934</v>
      </c>
      <c r="CK14" s="2">
        <v>3953</v>
      </c>
      <c r="CL14" s="2">
        <v>3154</v>
      </c>
      <c r="CM14" s="2">
        <v>2203</v>
      </c>
      <c r="CN14" s="2">
        <v>1711</v>
      </c>
      <c r="CO14" s="2">
        <v>30123</v>
      </c>
      <c r="CP14" s="2">
        <v>23207</v>
      </c>
      <c r="CS14" s="20" t="s">
        <v>51</v>
      </c>
      <c r="CT14" s="146">
        <f t="shared" si="19"/>
        <v>6152.7142857142853</v>
      </c>
      <c r="CU14" s="146">
        <f t="shared" si="20"/>
        <v>1625.5714285714287</v>
      </c>
      <c r="CV14" s="146">
        <f t="shared" si="21"/>
        <v>1031</v>
      </c>
      <c r="CW14" s="146">
        <f t="shared" si="22"/>
        <v>836</v>
      </c>
      <c r="CX14" s="146">
        <f t="shared" si="23"/>
        <v>867.57142857142856</v>
      </c>
      <c r="CY14" s="146">
        <f t="shared" si="24"/>
        <v>428.42857142857144</v>
      </c>
      <c r="CZ14" s="146">
        <f t="shared" si="25"/>
        <v>643.57142857142856</v>
      </c>
      <c r="DA14" s="146">
        <f t="shared" si="26"/>
        <v>720.57142857142856</v>
      </c>
      <c r="DD14" s="20" t="s">
        <v>51</v>
      </c>
      <c r="DE14" s="146">
        <f t="shared" si="8"/>
        <v>5302.2857142857147</v>
      </c>
      <c r="DF14" s="146">
        <f t="shared" si="9"/>
        <v>1502</v>
      </c>
      <c r="DG14" s="146">
        <f t="shared" si="27"/>
        <v>893.14285714285711</v>
      </c>
      <c r="DH14" s="146">
        <f t="shared" si="28"/>
        <v>659.28571428571433</v>
      </c>
      <c r="DI14" s="146">
        <f t="shared" si="29"/>
        <v>783.14285714285711</v>
      </c>
      <c r="DJ14" s="146">
        <f t="shared" si="30"/>
        <v>340</v>
      </c>
      <c r="DK14" s="146">
        <f t="shared" si="31"/>
        <v>553.28571428571433</v>
      </c>
      <c r="DL14" s="146">
        <f t="shared" si="32"/>
        <v>571.42857142857144</v>
      </c>
      <c r="DP14" s="125">
        <v>44173</v>
      </c>
      <c r="DQ14" s="2">
        <v>4486</v>
      </c>
      <c r="DR14" s="2">
        <v>3349</v>
      </c>
      <c r="EA14" s="20" t="s">
        <v>51</v>
      </c>
      <c r="EB14" s="146" t="b">
        <f t="shared" si="33"/>
        <v>0</v>
      </c>
      <c r="EC14" s="146" t="b">
        <f t="shared" si="34"/>
        <v>0</v>
      </c>
    </row>
    <row r="15" spans="2:133" x14ac:dyDescent="0.35">
      <c r="B15" s="28"/>
      <c r="C15" s="19">
        <v>10</v>
      </c>
      <c r="D15" s="2">
        <v>42363</v>
      </c>
      <c r="E15" s="2">
        <v>35271</v>
      </c>
      <c r="F15" s="28">
        <f t="shared" si="10"/>
        <v>0.83258975993201612</v>
      </c>
      <c r="H15" s="28"/>
      <c r="I15" s="19" t="s">
        <v>46</v>
      </c>
      <c r="J15" s="2">
        <v>3052</v>
      </c>
      <c r="K15" s="2">
        <v>2326</v>
      </c>
      <c r="L15" s="2">
        <v>7180</v>
      </c>
      <c r="M15" s="2">
        <v>6371</v>
      </c>
      <c r="N15" s="2">
        <v>5325</v>
      </c>
      <c r="O15" s="2">
        <v>3732</v>
      </c>
      <c r="P15" s="2">
        <v>4841</v>
      </c>
      <c r="Q15" s="2">
        <v>3442</v>
      </c>
      <c r="R15" s="2">
        <v>4056</v>
      </c>
      <c r="S15" s="2">
        <v>2782</v>
      </c>
      <c r="T15" s="2">
        <v>4083</v>
      </c>
      <c r="U15" s="2">
        <v>3199</v>
      </c>
      <c r="V15" s="2">
        <v>2220</v>
      </c>
      <c r="W15" s="2">
        <v>1529</v>
      </c>
      <c r="X15" s="2">
        <v>30757</v>
      </c>
      <c r="Y15" s="2">
        <v>23381</v>
      </c>
      <c r="Z15" s="2"/>
      <c r="AA15" s="28"/>
      <c r="AB15" s="20" t="s">
        <v>54</v>
      </c>
      <c r="AC15" s="28">
        <f t="shared" si="0"/>
        <v>0.77386114370249448</v>
      </c>
      <c r="AD15" s="28">
        <f t="shared" si="1"/>
        <v>0.84851226377161237</v>
      </c>
      <c r="AE15" s="28">
        <f t="shared" si="2"/>
        <v>0.78721432983323036</v>
      </c>
      <c r="AF15" s="28">
        <f t="shared" si="3"/>
        <v>0.74234172906739282</v>
      </c>
      <c r="AG15" s="28">
        <f t="shared" si="4"/>
        <v>0.76321082464801604</v>
      </c>
      <c r="AH15" s="28">
        <f t="shared" si="5"/>
        <v>0.67826086956521736</v>
      </c>
      <c r="AI15" s="28">
        <f t="shared" si="6"/>
        <v>0.70898906375033344</v>
      </c>
      <c r="AJ15" s="28">
        <f>VLOOKUP($AB15,$I$8:$Y$1048576,11,FALSE)/VLOOKUP($AB15,$I$8:$Y$1048576,10,FALSE)</f>
        <v>0.75791396103896103</v>
      </c>
      <c r="AK15" s="45"/>
      <c r="AL15" s="45"/>
      <c r="AM15" s="28"/>
      <c r="AN15" s="19">
        <v>10</v>
      </c>
      <c r="AO15" s="2">
        <v>42363</v>
      </c>
      <c r="AP15" s="2">
        <v>35271</v>
      </c>
      <c r="AQ15" s="20">
        <f t="shared" si="35"/>
        <v>1013.1428571428571</v>
      </c>
      <c r="AR15" s="20"/>
      <c r="AT15" s="19" t="s">
        <v>46</v>
      </c>
      <c r="AU15" s="2">
        <v>3052</v>
      </c>
      <c r="AV15" s="2">
        <v>2326</v>
      </c>
      <c r="AW15" s="2">
        <v>7180</v>
      </c>
      <c r="AX15" s="2">
        <v>6371</v>
      </c>
      <c r="AY15" s="2">
        <v>5325</v>
      </c>
      <c r="AZ15" s="2">
        <v>3732</v>
      </c>
      <c r="BA15" s="2">
        <v>4841</v>
      </c>
      <c r="BB15" s="2">
        <v>3442</v>
      </c>
      <c r="BC15" s="2">
        <v>4056</v>
      </c>
      <c r="BD15" s="2">
        <v>2782</v>
      </c>
      <c r="BE15" s="2">
        <v>4083</v>
      </c>
      <c r="BF15" s="2">
        <v>3199</v>
      </c>
      <c r="BG15" s="2">
        <v>2220</v>
      </c>
      <c r="BH15" s="2">
        <v>1529</v>
      </c>
      <c r="BI15" s="2">
        <v>30757</v>
      </c>
      <c r="BJ15" s="2">
        <v>23381</v>
      </c>
      <c r="BK15" s="2"/>
      <c r="BM15" s="20" t="s">
        <v>52</v>
      </c>
      <c r="BN15" s="25">
        <f t="shared" si="11"/>
        <v>1013.1428571428571</v>
      </c>
      <c r="BO15" s="25">
        <f t="shared" si="12"/>
        <v>162</v>
      </c>
      <c r="BP15" s="25">
        <f t="shared" si="13"/>
        <v>165.85714285714286</v>
      </c>
      <c r="BQ15" s="25">
        <f t="shared" si="14"/>
        <v>196</v>
      </c>
      <c r="BR15" s="25">
        <f t="shared" si="15"/>
        <v>116.71428571428571</v>
      </c>
      <c r="BS15" s="25">
        <f t="shared" si="16"/>
        <v>87.142857142857139</v>
      </c>
      <c r="BT15" s="25">
        <f t="shared" si="17"/>
        <v>130.85714285714286</v>
      </c>
      <c r="BU15" s="25">
        <f t="shared" si="18"/>
        <v>154.57142857142858</v>
      </c>
      <c r="BZ15" s="19" t="s">
        <v>46</v>
      </c>
      <c r="CA15" s="2">
        <v>3052</v>
      </c>
      <c r="CB15" s="2">
        <v>2326</v>
      </c>
      <c r="CC15" s="2">
        <v>7180</v>
      </c>
      <c r="CD15" s="2">
        <v>6371</v>
      </c>
      <c r="CE15" s="2">
        <v>5325</v>
      </c>
      <c r="CF15" s="2">
        <v>3732</v>
      </c>
      <c r="CG15" s="2">
        <v>4841</v>
      </c>
      <c r="CH15" s="2">
        <v>3442</v>
      </c>
      <c r="CI15" s="2">
        <v>4056</v>
      </c>
      <c r="CJ15" s="2">
        <v>2782</v>
      </c>
      <c r="CK15" s="2">
        <v>4083</v>
      </c>
      <c r="CL15" s="2">
        <v>3199</v>
      </c>
      <c r="CM15" s="2">
        <v>2220</v>
      </c>
      <c r="CN15" s="2">
        <v>1529</v>
      </c>
      <c r="CO15" s="2">
        <v>30757</v>
      </c>
      <c r="CP15" s="2">
        <v>23381</v>
      </c>
      <c r="CS15" s="20" t="s">
        <v>52</v>
      </c>
      <c r="CT15" s="146">
        <f t="shared" si="19"/>
        <v>6051.8571428571431</v>
      </c>
      <c r="CU15" s="146">
        <f t="shared" si="20"/>
        <v>1595.7142857142858</v>
      </c>
      <c r="CV15" s="146">
        <f t="shared" si="21"/>
        <v>1023.7142857142857</v>
      </c>
      <c r="CW15" s="146">
        <f t="shared" si="22"/>
        <v>847.14285714285711</v>
      </c>
      <c r="CX15" s="146">
        <f t="shared" si="23"/>
        <v>831.85714285714289</v>
      </c>
      <c r="CY15" s="146">
        <f t="shared" si="24"/>
        <v>421.57142857142856</v>
      </c>
      <c r="CZ15" s="146">
        <f t="shared" si="25"/>
        <v>614.71428571428567</v>
      </c>
      <c r="DA15" s="146">
        <f t="shared" si="26"/>
        <v>717.14285714285711</v>
      </c>
      <c r="DD15" s="20" t="s">
        <v>52</v>
      </c>
      <c r="DE15" s="146">
        <f t="shared" si="8"/>
        <v>5038.7142857142853</v>
      </c>
      <c r="DF15" s="146">
        <f t="shared" si="9"/>
        <v>1433.7142857142858</v>
      </c>
      <c r="DG15" s="146">
        <f t="shared" si="27"/>
        <v>857.85714285714289</v>
      </c>
      <c r="DH15" s="146">
        <f t="shared" si="28"/>
        <v>651.14285714285711</v>
      </c>
      <c r="DI15" s="146">
        <f t="shared" si="29"/>
        <v>715.14285714285711</v>
      </c>
      <c r="DJ15" s="146">
        <f t="shared" si="30"/>
        <v>334.42857142857144</v>
      </c>
      <c r="DK15" s="146">
        <f t="shared" si="31"/>
        <v>483.85714285714283</v>
      </c>
      <c r="DL15" s="146">
        <f t="shared" si="32"/>
        <v>562.57142857142856</v>
      </c>
      <c r="DP15" s="125">
        <v>44174</v>
      </c>
      <c r="DQ15" s="2">
        <v>4487</v>
      </c>
      <c r="DR15" s="2">
        <v>3384</v>
      </c>
      <c r="EA15" s="20" t="s">
        <v>52</v>
      </c>
      <c r="EB15" s="146" t="b">
        <f t="shared" si="33"/>
        <v>0</v>
      </c>
      <c r="EC15" s="146" t="b">
        <f t="shared" si="34"/>
        <v>0</v>
      </c>
    </row>
    <row r="16" spans="2:133" x14ac:dyDescent="0.35">
      <c r="B16" s="28"/>
      <c r="C16" s="19">
        <v>11</v>
      </c>
      <c r="D16" s="2">
        <v>40860</v>
      </c>
      <c r="E16" s="2">
        <v>32582</v>
      </c>
      <c r="F16" s="28">
        <f t="shared" si="10"/>
        <v>0.79740577581987271</v>
      </c>
      <c r="H16" s="28"/>
      <c r="I16" s="19" t="s">
        <v>47</v>
      </c>
      <c r="J16" s="2">
        <v>3508</v>
      </c>
      <c r="K16" s="2">
        <v>2919</v>
      </c>
      <c r="L16" s="2">
        <v>8105</v>
      </c>
      <c r="M16" s="2">
        <v>7111</v>
      </c>
      <c r="N16" s="2">
        <v>5405</v>
      </c>
      <c r="O16" s="2">
        <v>4049</v>
      </c>
      <c r="P16" s="2">
        <v>4817</v>
      </c>
      <c r="Q16" s="2">
        <v>3532</v>
      </c>
      <c r="R16" s="2">
        <v>4060</v>
      </c>
      <c r="S16" s="2">
        <v>2975</v>
      </c>
      <c r="T16" s="2">
        <v>4515</v>
      </c>
      <c r="U16" s="2">
        <v>3830</v>
      </c>
      <c r="V16" s="2">
        <v>2295</v>
      </c>
      <c r="W16" s="2">
        <v>1600</v>
      </c>
      <c r="X16" s="2">
        <v>32705</v>
      </c>
      <c r="Y16" s="2">
        <v>26016</v>
      </c>
      <c r="Z16" s="2"/>
      <c r="AA16" s="28"/>
      <c r="AB16" s="20" t="s">
        <v>55</v>
      </c>
      <c r="AC16" s="28">
        <f t="shared" si="0"/>
        <v>0.75271739130434778</v>
      </c>
      <c r="AD16" s="28">
        <f t="shared" si="1"/>
        <v>0.83496642078608385</v>
      </c>
      <c r="AE16" s="28">
        <f t="shared" si="2"/>
        <v>0.76734825309933985</v>
      </c>
      <c r="AF16" s="28">
        <f t="shared" si="3"/>
        <v>0.72011712022046159</v>
      </c>
      <c r="AG16" s="28">
        <f t="shared" si="4"/>
        <v>0.73023524874662549</v>
      </c>
      <c r="AH16" s="28">
        <f t="shared" si="5"/>
        <v>0.63266814486326683</v>
      </c>
      <c r="AI16" s="28">
        <f t="shared" si="6"/>
        <v>0.70798501008936288</v>
      </c>
      <c r="AJ16" s="28">
        <f t="shared" si="7"/>
        <v>0.74166135542808587</v>
      </c>
      <c r="AK16" s="45"/>
      <c r="AL16" s="45"/>
      <c r="AM16" s="28"/>
      <c r="AN16" s="19">
        <v>11</v>
      </c>
      <c r="AO16" s="2">
        <v>40860</v>
      </c>
      <c r="AP16" s="2">
        <v>32582</v>
      </c>
      <c r="AQ16" s="20">
        <f t="shared" si="35"/>
        <v>1182.5714285714287</v>
      </c>
      <c r="AR16" s="20"/>
      <c r="AT16" s="19" t="s">
        <v>47</v>
      </c>
      <c r="AU16" s="2">
        <v>3508</v>
      </c>
      <c r="AV16" s="2">
        <v>2919</v>
      </c>
      <c r="AW16" s="2">
        <v>8105</v>
      </c>
      <c r="AX16" s="2">
        <v>7111</v>
      </c>
      <c r="AY16" s="2">
        <v>5405</v>
      </c>
      <c r="AZ16" s="2">
        <v>4049</v>
      </c>
      <c r="BA16" s="2">
        <v>4817</v>
      </c>
      <c r="BB16" s="2">
        <v>3532</v>
      </c>
      <c r="BC16" s="2">
        <v>4060</v>
      </c>
      <c r="BD16" s="2">
        <v>2975</v>
      </c>
      <c r="BE16" s="2">
        <v>4515</v>
      </c>
      <c r="BF16" s="2">
        <v>3830</v>
      </c>
      <c r="BG16" s="2">
        <v>2295</v>
      </c>
      <c r="BH16" s="2">
        <v>1600</v>
      </c>
      <c r="BI16" s="2">
        <v>32705</v>
      </c>
      <c r="BJ16" s="2">
        <v>26016</v>
      </c>
      <c r="BK16" s="2"/>
      <c r="BM16" s="20" t="s">
        <v>53</v>
      </c>
      <c r="BN16" s="25">
        <f t="shared" si="11"/>
        <v>1182.5714285714287</v>
      </c>
      <c r="BO16" s="25">
        <f t="shared" si="12"/>
        <v>199.57142857142858</v>
      </c>
      <c r="BP16" s="25">
        <f t="shared" si="13"/>
        <v>183</v>
      </c>
      <c r="BQ16" s="25">
        <f t="shared" si="14"/>
        <v>209.71428571428572</v>
      </c>
      <c r="BR16" s="25">
        <f t="shared" si="15"/>
        <v>147.71428571428572</v>
      </c>
      <c r="BS16" s="25">
        <f t="shared" si="16"/>
        <v>113.42857142857143</v>
      </c>
      <c r="BT16" s="25">
        <f t="shared" si="17"/>
        <v>166.42857142857142</v>
      </c>
      <c r="BU16" s="25">
        <f t="shared" si="18"/>
        <v>162.71428571428572</v>
      </c>
      <c r="BZ16" s="19" t="s">
        <v>47</v>
      </c>
      <c r="CA16" s="2">
        <v>3508</v>
      </c>
      <c r="CB16" s="2">
        <v>2919</v>
      </c>
      <c r="CC16" s="2">
        <v>8105</v>
      </c>
      <c r="CD16" s="2">
        <v>7111</v>
      </c>
      <c r="CE16" s="2">
        <v>5405</v>
      </c>
      <c r="CF16" s="2">
        <v>4049</v>
      </c>
      <c r="CG16" s="2">
        <v>4817</v>
      </c>
      <c r="CH16" s="2">
        <v>3532</v>
      </c>
      <c r="CI16" s="2">
        <v>4060</v>
      </c>
      <c r="CJ16" s="2">
        <v>2975</v>
      </c>
      <c r="CK16" s="2">
        <v>4515</v>
      </c>
      <c r="CL16" s="2">
        <v>3830</v>
      </c>
      <c r="CM16" s="2">
        <v>2295</v>
      </c>
      <c r="CN16" s="2">
        <v>1600</v>
      </c>
      <c r="CO16" s="2">
        <v>32705</v>
      </c>
      <c r="CP16" s="2">
        <v>26016</v>
      </c>
      <c r="CS16" s="20" t="s">
        <v>53</v>
      </c>
      <c r="CT16" s="146">
        <f t="shared" si="19"/>
        <v>5837.1428571428569</v>
      </c>
      <c r="CU16" s="146">
        <f t="shared" si="20"/>
        <v>1528.2857142857142</v>
      </c>
      <c r="CV16" s="146">
        <f t="shared" si="21"/>
        <v>980.71428571428567</v>
      </c>
      <c r="CW16" s="146">
        <f t="shared" si="22"/>
        <v>828.28571428571433</v>
      </c>
      <c r="CX16" s="146">
        <f t="shared" si="23"/>
        <v>809.85714285714289</v>
      </c>
      <c r="CY16" s="146">
        <f t="shared" si="24"/>
        <v>408.42857142857144</v>
      </c>
      <c r="CZ16" s="146">
        <f t="shared" si="25"/>
        <v>575.42857142857144</v>
      </c>
      <c r="DA16" s="146">
        <f t="shared" si="26"/>
        <v>706.14285714285711</v>
      </c>
      <c r="DD16" s="20" t="s">
        <v>53</v>
      </c>
      <c r="DE16" s="146">
        <f t="shared" si="8"/>
        <v>4654.5714285714284</v>
      </c>
      <c r="DF16" s="146">
        <f t="shared" si="9"/>
        <v>1328.7142857142858</v>
      </c>
      <c r="DG16" s="146">
        <f t="shared" si="27"/>
        <v>797.71428571428567</v>
      </c>
      <c r="DH16" s="146">
        <f t="shared" si="28"/>
        <v>618.57142857142856</v>
      </c>
      <c r="DI16" s="146">
        <f t="shared" si="29"/>
        <v>662.14285714285711</v>
      </c>
      <c r="DJ16" s="146">
        <f t="shared" si="30"/>
        <v>295</v>
      </c>
      <c r="DK16" s="146">
        <f t="shared" si="31"/>
        <v>409</v>
      </c>
      <c r="DL16" s="146">
        <f t="shared" si="32"/>
        <v>543.42857142857144</v>
      </c>
      <c r="DP16" s="125">
        <v>44175</v>
      </c>
      <c r="DQ16" s="2">
        <v>4455</v>
      </c>
      <c r="DR16" s="2">
        <v>3407</v>
      </c>
      <c r="EA16" s="20" t="s">
        <v>53</v>
      </c>
      <c r="EB16" s="146" t="b">
        <f t="shared" si="33"/>
        <v>0</v>
      </c>
      <c r="EC16" s="146" t="b">
        <f t="shared" si="34"/>
        <v>0</v>
      </c>
    </row>
    <row r="17" spans="2:133" x14ac:dyDescent="0.35">
      <c r="B17" s="28"/>
      <c r="C17" s="19">
        <v>12</v>
      </c>
      <c r="D17" s="2">
        <v>39206</v>
      </c>
      <c r="E17" s="2">
        <v>30340</v>
      </c>
      <c r="F17" s="28">
        <f t="shared" si="10"/>
        <v>0.77386114370249448</v>
      </c>
      <c r="H17" s="28"/>
      <c r="I17" s="19" t="s">
        <v>48</v>
      </c>
      <c r="J17" s="2">
        <v>4037</v>
      </c>
      <c r="K17" s="2">
        <v>3514</v>
      </c>
      <c r="L17" s="2">
        <v>9592</v>
      </c>
      <c r="M17" s="2">
        <v>8429</v>
      </c>
      <c r="N17" s="2">
        <v>5716</v>
      </c>
      <c r="O17" s="2">
        <v>4578</v>
      </c>
      <c r="P17" s="2">
        <v>5094</v>
      </c>
      <c r="Q17" s="2">
        <v>3851</v>
      </c>
      <c r="R17" s="2">
        <v>4133</v>
      </c>
      <c r="S17" s="2">
        <v>3292</v>
      </c>
      <c r="T17" s="2">
        <v>4979</v>
      </c>
      <c r="U17" s="2">
        <v>4453</v>
      </c>
      <c r="V17" s="2">
        <v>2391</v>
      </c>
      <c r="W17" s="2">
        <v>1869</v>
      </c>
      <c r="X17" s="2">
        <v>35942</v>
      </c>
      <c r="Y17" s="2">
        <v>29986</v>
      </c>
      <c r="Z17" s="2"/>
      <c r="AA17" s="28"/>
      <c r="AB17" s="20"/>
      <c r="AC17" s="28"/>
      <c r="AD17" s="28"/>
      <c r="AE17" s="28"/>
      <c r="AF17" s="28"/>
      <c r="AG17" s="28"/>
      <c r="AH17" s="28"/>
      <c r="AI17" s="45"/>
      <c r="AJ17" s="45"/>
      <c r="AK17" s="45"/>
      <c r="AL17" s="45"/>
      <c r="AM17" s="28"/>
      <c r="AN17" s="19">
        <v>12</v>
      </c>
      <c r="AO17" s="2">
        <v>39206</v>
      </c>
      <c r="AP17" s="2">
        <v>30340</v>
      </c>
      <c r="AQ17" s="20">
        <f t="shared" si="35"/>
        <v>1266.5714285714287</v>
      </c>
      <c r="AR17" s="20"/>
      <c r="AT17" s="19" t="s">
        <v>48</v>
      </c>
      <c r="AU17" s="2">
        <v>4037</v>
      </c>
      <c r="AV17" s="2">
        <v>3514</v>
      </c>
      <c r="AW17" s="2">
        <v>9592</v>
      </c>
      <c r="AX17" s="2">
        <v>8429</v>
      </c>
      <c r="AY17" s="2">
        <v>5716</v>
      </c>
      <c r="AZ17" s="2">
        <v>4578</v>
      </c>
      <c r="BA17" s="2">
        <v>5094</v>
      </c>
      <c r="BB17" s="2">
        <v>3851</v>
      </c>
      <c r="BC17" s="2">
        <v>4133</v>
      </c>
      <c r="BD17" s="2">
        <v>3292</v>
      </c>
      <c r="BE17" s="2">
        <v>4979</v>
      </c>
      <c r="BF17" s="2">
        <v>4453</v>
      </c>
      <c r="BG17" s="2">
        <v>2391</v>
      </c>
      <c r="BH17" s="2">
        <v>1869</v>
      </c>
      <c r="BI17" s="2">
        <v>35942</v>
      </c>
      <c r="BJ17" s="2">
        <v>29986</v>
      </c>
      <c r="BK17" s="2"/>
      <c r="BM17" s="20" t="s">
        <v>54</v>
      </c>
      <c r="BN17" s="25">
        <f t="shared" si="11"/>
        <v>1266.5714285714287</v>
      </c>
      <c r="BO17" s="25">
        <f t="shared" si="12"/>
        <v>215.28571428571428</v>
      </c>
      <c r="BP17" s="25">
        <f t="shared" si="13"/>
        <v>196.85714285714286</v>
      </c>
      <c r="BQ17" s="25">
        <f t="shared" si="14"/>
        <v>216.28571428571428</v>
      </c>
      <c r="BR17" s="25">
        <f t="shared" si="15"/>
        <v>185</v>
      </c>
      <c r="BS17" s="25">
        <f t="shared" si="16"/>
        <v>126.85714285714286</v>
      </c>
      <c r="BT17" s="25">
        <f t="shared" si="17"/>
        <v>155.85714285714286</v>
      </c>
      <c r="BU17" s="25">
        <f t="shared" si="18"/>
        <v>170.42857142857142</v>
      </c>
      <c r="BZ17" s="19" t="s">
        <v>48</v>
      </c>
      <c r="CA17" s="2">
        <v>4037</v>
      </c>
      <c r="CB17" s="2">
        <v>3514</v>
      </c>
      <c r="CC17" s="2">
        <v>9592</v>
      </c>
      <c r="CD17" s="2">
        <v>8429</v>
      </c>
      <c r="CE17" s="2">
        <v>5716</v>
      </c>
      <c r="CF17" s="2">
        <v>4578</v>
      </c>
      <c r="CG17" s="2">
        <v>5094</v>
      </c>
      <c r="CH17" s="2">
        <v>3851</v>
      </c>
      <c r="CI17" s="2">
        <v>4133</v>
      </c>
      <c r="CJ17" s="2">
        <v>3292</v>
      </c>
      <c r="CK17" s="2">
        <v>4979</v>
      </c>
      <c r="CL17" s="2">
        <v>4453</v>
      </c>
      <c r="CM17" s="2">
        <v>2391</v>
      </c>
      <c r="CN17" s="2">
        <v>1869</v>
      </c>
      <c r="CO17" s="2">
        <v>35942</v>
      </c>
      <c r="CP17" s="2">
        <v>29986</v>
      </c>
      <c r="CS17" s="20" t="s">
        <v>54</v>
      </c>
      <c r="CT17" s="146">
        <f t="shared" si="19"/>
        <v>5600.8571428571431</v>
      </c>
      <c r="CU17" s="146">
        <f t="shared" si="20"/>
        <v>1421.1428571428571</v>
      </c>
      <c r="CV17" s="146">
        <f t="shared" si="21"/>
        <v>925.14285714285711</v>
      </c>
      <c r="CW17" s="146">
        <f t="shared" si="22"/>
        <v>839.42857142857144</v>
      </c>
      <c r="CX17" s="146">
        <f t="shared" si="23"/>
        <v>781.28571428571433</v>
      </c>
      <c r="CY17" s="146">
        <f t="shared" si="24"/>
        <v>394.28571428571428</v>
      </c>
      <c r="CZ17" s="146">
        <f t="shared" si="25"/>
        <v>535.57142857142856</v>
      </c>
      <c r="DA17" s="146">
        <f t="shared" si="26"/>
        <v>704</v>
      </c>
      <c r="DD17" s="20" t="s">
        <v>54</v>
      </c>
      <c r="DE17" s="146">
        <f t="shared" si="8"/>
        <v>4334.2857142857147</v>
      </c>
      <c r="DF17" s="146">
        <f t="shared" si="9"/>
        <v>1205.8571428571429</v>
      </c>
      <c r="DG17" s="146">
        <f t="shared" si="27"/>
        <v>728.28571428571433</v>
      </c>
      <c r="DH17" s="146">
        <f t="shared" si="28"/>
        <v>623.14285714285711</v>
      </c>
      <c r="DI17" s="146">
        <f t="shared" si="29"/>
        <v>596.28571428571433</v>
      </c>
      <c r="DJ17" s="146">
        <f t="shared" si="30"/>
        <v>267.42857142857144</v>
      </c>
      <c r="DK17" s="146">
        <f t="shared" si="31"/>
        <v>379.71428571428572</v>
      </c>
      <c r="DL17" s="146">
        <f t="shared" si="32"/>
        <v>533.57142857142856</v>
      </c>
      <c r="DP17" s="125">
        <v>44176</v>
      </c>
      <c r="DQ17" s="2">
        <v>4425</v>
      </c>
      <c r="DR17" s="2">
        <v>3359</v>
      </c>
      <c r="EA17" s="20" t="s">
        <v>54</v>
      </c>
      <c r="EB17" s="146" t="b">
        <f t="shared" si="33"/>
        <v>0</v>
      </c>
      <c r="EC17" s="146" t="b">
        <f t="shared" si="34"/>
        <v>0</v>
      </c>
    </row>
    <row r="18" spans="2:133" x14ac:dyDescent="0.35">
      <c r="B18" s="28"/>
      <c r="C18" s="19">
        <v>13</v>
      </c>
      <c r="D18" s="2">
        <v>37168</v>
      </c>
      <c r="E18" s="2">
        <v>27977</v>
      </c>
      <c r="F18" s="28">
        <f t="shared" si="10"/>
        <v>0.75271739130434778</v>
      </c>
      <c r="H18" s="28"/>
      <c r="I18" s="19" t="s">
        <v>49</v>
      </c>
      <c r="J18" s="2">
        <v>4388</v>
      </c>
      <c r="K18" s="2">
        <v>3744</v>
      </c>
      <c r="L18" s="2">
        <v>10872</v>
      </c>
      <c r="M18" s="2">
        <v>10080</v>
      </c>
      <c r="N18" s="2">
        <v>6264</v>
      </c>
      <c r="O18" s="2">
        <v>5299</v>
      </c>
      <c r="P18" s="2">
        <v>5459</v>
      </c>
      <c r="Q18" s="2">
        <v>4235</v>
      </c>
      <c r="R18" s="2">
        <v>4402</v>
      </c>
      <c r="S18" s="2">
        <v>3625</v>
      </c>
      <c r="T18" s="2">
        <v>5643</v>
      </c>
      <c r="U18" s="2">
        <v>5141</v>
      </c>
      <c r="V18" s="2">
        <v>2709</v>
      </c>
      <c r="W18" s="2">
        <v>2241</v>
      </c>
      <c r="X18" s="2">
        <v>39737</v>
      </c>
      <c r="Y18" s="2">
        <v>34365</v>
      </c>
      <c r="Z18" s="2"/>
      <c r="AA18" s="28"/>
      <c r="AB18" s="28"/>
      <c r="AC18" s="28"/>
      <c r="AD18" s="28"/>
      <c r="AE18" s="28"/>
      <c r="AF18" s="28"/>
      <c r="AG18" s="28"/>
      <c r="AH18" s="28"/>
      <c r="AI18" s="28"/>
      <c r="AJ18" s="28"/>
      <c r="AK18" s="28"/>
      <c r="AL18" s="28"/>
      <c r="AM18" s="28"/>
      <c r="AN18" s="19">
        <v>13</v>
      </c>
      <c r="AO18" s="2">
        <v>37168</v>
      </c>
      <c r="AP18" s="2">
        <v>27977</v>
      </c>
      <c r="AQ18" s="20">
        <f t="shared" si="35"/>
        <v>1313</v>
      </c>
      <c r="AR18" s="20"/>
      <c r="AT18" s="19" t="s">
        <v>49</v>
      </c>
      <c r="AU18" s="2">
        <v>4388</v>
      </c>
      <c r="AV18" s="2">
        <v>3744</v>
      </c>
      <c r="AW18" s="2">
        <v>10872</v>
      </c>
      <c r="AX18" s="2">
        <v>10080</v>
      </c>
      <c r="AY18" s="2">
        <v>6264</v>
      </c>
      <c r="AZ18" s="2">
        <v>5299</v>
      </c>
      <c r="BA18" s="2">
        <v>5459</v>
      </c>
      <c r="BB18" s="2">
        <v>4235</v>
      </c>
      <c r="BC18" s="2">
        <v>4402</v>
      </c>
      <c r="BD18" s="2">
        <v>3625</v>
      </c>
      <c r="BE18" s="2">
        <v>5643</v>
      </c>
      <c r="BF18" s="2">
        <v>5141</v>
      </c>
      <c r="BG18" s="2">
        <v>2709</v>
      </c>
      <c r="BH18" s="2">
        <v>2241</v>
      </c>
      <c r="BI18" s="2">
        <v>39737</v>
      </c>
      <c r="BJ18" s="2">
        <v>34365</v>
      </c>
      <c r="BK18" s="2"/>
      <c r="BM18" s="20" t="s">
        <v>55</v>
      </c>
      <c r="BN18" s="25">
        <f t="shared" si="11"/>
        <v>1313</v>
      </c>
      <c r="BO18" s="25">
        <f t="shared" si="12"/>
        <v>214.14285714285714</v>
      </c>
      <c r="BP18" s="25">
        <f t="shared" si="13"/>
        <v>206.42857142857142</v>
      </c>
      <c r="BQ18" s="25">
        <f t="shared" si="14"/>
        <v>232.14285714285714</v>
      </c>
      <c r="BR18" s="25">
        <f t="shared" si="15"/>
        <v>199.85714285714286</v>
      </c>
      <c r="BS18" s="25">
        <f t="shared" si="16"/>
        <v>142</v>
      </c>
      <c r="BT18" s="25">
        <f t="shared" si="17"/>
        <v>144.71428571428572</v>
      </c>
      <c r="BU18" s="25">
        <f>(VLOOKUP($BM18,$AT$8:$BJ$1048576,10,FALSE)-VLOOKUP($BM18,$AT$8:$BJ$1048576,11,FALSE))/7</f>
        <v>173.71428571428572</v>
      </c>
      <c r="BZ18" s="19" t="s">
        <v>49</v>
      </c>
      <c r="CA18" s="2">
        <v>4388</v>
      </c>
      <c r="CB18" s="2">
        <v>3744</v>
      </c>
      <c r="CC18" s="2">
        <v>10872</v>
      </c>
      <c r="CD18" s="2">
        <v>10080</v>
      </c>
      <c r="CE18" s="2">
        <v>6264</v>
      </c>
      <c r="CF18" s="2">
        <v>5299</v>
      </c>
      <c r="CG18" s="2">
        <v>5459</v>
      </c>
      <c r="CH18" s="2">
        <v>4235</v>
      </c>
      <c r="CI18" s="2">
        <v>4402</v>
      </c>
      <c r="CJ18" s="2">
        <v>3625</v>
      </c>
      <c r="CK18" s="2">
        <v>5643</v>
      </c>
      <c r="CL18" s="2">
        <v>5141</v>
      </c>
      <c r="CM18" s="2">
        <v>2709</v>
      </c>
      <c r="CN18" s="2">
        <v>2241</v>
      </c>
      <c r="CO18" s="2">
        <v>39737</v>
      </c>
      <c r="CP18" s="2">
        <v>34365</v>
      </c>
      <c r="CS18" s="20" t="s">
        <v>55</v>
      </c>
      <c r="CT18" s="146">
        <f t="shared" si="19"/>
        <v>5309.7142857142853</v>
      </c>
      <c r="CU18" s="146">
        <f t="shared" si="20"/>
        <v>1297.5714285714287</v>
      </c>
      <c r="CV18" s="146">
        <f t="shared" si="21"/>
        <v>887.28571428571433</v>
      </c>
      <c r="CW18" s="146">
        <f t="shared" si="22"/>
        <v>829.42857142857144</v>
      </c>
      <c r="CX18" s="146">
        <f t="shared" si="23"/>
        <v>740.85714285714289</v>
      </c>
      <c r="CY18" s="146">
        <f t="shared" si="24"/>
        <v>386.57142857142856</v>
      </c>
      <c r="CZ18" s="146">
        <f t="shared" si="25"/>
        <v>495.57142857142856</v>
      </c>
      <c r="DA18" s="146">
        <f t="shared" si="26"/>
        <v>672.42857142857144</v>
      </c>
      <c r="DD18" s="20" t="s">
        <v>55</v>
      </c>
      <c r="DE18" s="146">
        <f t="shared" si="8"/>
        <v>3996.7142857142858</v>
      </c>
      <c r="DF18" s="146">
        <f t="shared" si="9"/>
        <v>1083.4285714285713</v>
      </c>
      <c r="DG18" s="146">
        <f t="shared" si="27"/>
        <v>680.85714285714289</v>
      </c>
      <c r="DH18" s="146">
        <f t="shared" si="28"/>
        <v>597.28571428571433</v>
      </c>
      <c r="DI18" s="146">
        <f t="shared" si="29"/>
        <v>541</v>
      </c>
      <c r="DJ18" s="146">
        <f t="shared" si="30"/>
        <v>244.57142857142858</v>
      </c>
      <c r="DK18" s="146">
        <f t="shared" si="31"/>
        <v>350.85714285714283</v>
      </c>
      <c r="DL18" s="146">
        <f t="shared" si="32"/>
        <v>498.71428571428572</v>
      </c>
      <c r="DP18" s="125">
        <v>44177</v>
      </c>
      <c r="DQ18" s="2">
        <v>4404</v>
      </c>
      <c r="DR18" s="2">
        <v>3313</v>
      </c>
      <c r="EA18" s="20" t="s">
        <v>55</v>
      </c>
      <c r="EB18" s="146" t="b">
        <f t="shared" si="33"/>
        <v>0</v>
      </c>
      <c r="EC18" s="146" t="b">
        <f t="shared" si="34"/>
        <v>0</v>
      </c>
    </row>
    <row r="19" spans="2:133" x14ac:dyDescent="0.35">
      <c r="B19" s="28"/>
      <c r="C19"/>
      <c r="D19"/>
      <c r="E19"/>
      <c r="F19" s="28" t="e">
        <f t="shared" si="10"/>
        <v>#DIV/0!</v>
      </c>
      <c r="H19" s="28"/>
      <c r="I19" s="19" t="s">
        <v>50</v>
      </c>
      <c r="J19" s="2">
        <v>4536</v>
      </c>
      <c r="K19" s="2">
        <v>3906</v>
      </c>
      <c r="L19" s="2">
        <v>11310</v>
      </c>
      <c r="M19" s="2">
        <v>10540</v>
      </c>
      <c r="N19" s="2">
        <v>7026</v>
      </c>
      <c r="O19" s="2">
        <v>6048</v>
      </c>
      <c r="P19" s="2">
        <v>5674</v>
      </c>
      <c r="Q19" s="2">
        <v>4470</v>
      </c>
      <c r="R19" s="2">
        <v>4789</v>
      </c>
      <c r="S19" s="2">
        <v>3977</v>
      </c>
      <c r="T19" s="2">
        <v>6167</v>
      </c>
      <c r="U19" s="2">
        <v>5618</v>
      </c>
      <c r="V19" s="2">
        <v>2900</v>
      </c>
      <c r="W19" s="2">
        <v>2388</v>
      </c>
      <c r="X19" s="2">
        <v>42402</v>
      </c>
      <c r="Y19" s="2">
        <v>36947</v>
      </c>
      <c r="Z19" s="2"/>
      <c r="AA19" s="28"/>
      <c r="AB19" s="28"/>
      <c r="AC19" s="28"/>
      <c r="AD19" s="28"/>
      <c r="AE19" s="28"/>
      <c r="AF19" s="28"/>
      <c r="AG19" s="28"/>
      <c r="AH19" s="28"/>
      <c r="AI19" s="28"/>
      <c r="AJ19" s="28"/>
      <c r="AK19" s="28"/>
      <c r="AL19" s="28"/>
      <c r="AM19" s="28"/>
      <c r="AQ19" s="20">
        <f t="shared" si="35"/>
        <v>0</v>
      </c>
      <c r="AR19" s="20"/>
      <c r="AT19" s="19" t="s">
        <v>50</v>
      </c>
      <c r="AU19" s="2">
        <v>4536</v>
      </c>
      <c r="AV19" s="2">
        <v>3906</v>
      </c>
      <c r="AW19" s="2">
        <v>11310</v>
      </c>
      <c r="AX19" s="2">
        <v>10540</v>
      </c>
      <c r="AY19" s="2">
        <v>7026</v>
      </c>
      <c r="AZ19" s="2">
        <v>6048</v>
      </c>
      <c r="BA19" s="2">
        <v>5674</v>
      </c>
      <c r="BB19" s="2">
        <v>4470</v>
      </c>
      <c r="BC19" s="2">
        <v>4789</v>
      </c>
      <c r="BD19" s="2">
        <v>3977</v>
      </c>
      <c r="BE19" s="2">
        <v>6167</v>
      </c>
      <c r="BF19" s="2">
        <v>5618</v>
      </c>
      <c r="BG19" s="2">
        <v>2900</v>
      </c>
      <c r="BH19" s="2">
        <v>2388</v>
      </c>
      <c r="BI19" s="2">
        <v>42402</v>
      </c>
      <c r="BJ19" s="2">
        <v>36947</v>
      </c>
      <c r="BK19" s="2"/>
      <c r="BM19" s="20"/>
      <c r="BN19" s="25"/>
      <c r="BO19" s="25"/>
      <c r="BP19" s="25"/>
      <c r="BQ19" s="25"/>
      <c r="BR19" s="25"/>
      <c r="BS19" s="25"/>
      <c r="BT19" s="26"/>
      <c r="BZ19" s="19" t="s">
        <v>50</v>
      </c>
      <c r="CA19" s="2">
        <v>4536</v>
      </c>
      <c r="CB19" s="2">
        <v>3906</v>
      </c>
      <c r="CC19" s="2">
        <v>11310</v>
      </c>
      <c r="CD19" s="2">
        <v>10540</v>
      </c>
      <c r="CE19" s="2">
        <v>7026</v>
      </c>
      <c r="CF19" s="2">
        <v>6048</v>
      </c>
      <c r="CG19" s="2">
        <v>5674</v>
      </c>
      <c r="CH19" s="2">
        <v>4470</v>
      </c>
      <c r="CI19" s="2">
        <v>4789</v>
      </c>
      <c r="CJ19" s="2">
        <v>3977</v>
      </c>
      <c r="CK19" s="2">
        <v>6167</v>
      </c>
      <c r="CL19" s="2">
        <v>5618</v>
      </c>
      <c r="CM19" s="2">
        <v>2900</v>
      </c>
      <c r="CN19" s="2">
        <v>2388</v>
      </c>
      <c r="CO19" s="2">
        <v>42402</v>
      </c>
      <c r="CP19" s="2">
        <v>36947</v>
      </c>
      <c r="DP19" s="125">
        <v>44178</v>
      </c>
      <c r="DQ19" s="2">
        <v>4352</v>
      </c>
      <c r="DR19" s="2">
        <v>3262</v>
      </c>
    </row>
    <row r="20" spans="2:133" x14ac:dyDescent="0.35">
      <c r="B20" s="28"/>
      <c r="C20"/>
      <c r="D20"/>
      <c r="E20"/>
      <c r="F20" s="28" t="e">
        <f t="shared" si="10"/>
        <v>#DIV/0!</v>
      </c>
      <c r="I20" s="19" t="s">
        <v>51</v>
      </c>
      <c r="J20" s="2">
        <v>4505</v>
      </c>
      <c r="K20" s="2">
        <v>3873</v>
      </c>
      <c r="L20" s="2">
        <v>11379</v>
      </c>
      <c r="M20" s="2">
        <v>10514</v>
      </c>
      <c r="N20" s="2">
        <v>7217</v>
      </c>
      <c r="O20" s="2">
        <v>6252</v>
      </c>
      <c r="P20" s="2">
        <v>5852</v>
      </c>
      <c r="Q20" s="2">
        <v>4615</v>
      </c>
      <c r="R20" s="2">
        <v>5044</v>
      </c>
      <c r="S20" s="2">
        <v>4000</v>
      </c>
      <c r="T20" s="2">
        <v>6073</v>
      </c>
      <c r="U20" s="2">
        <v>5482</v>
      </c>
      <c r="V20" s="2">
        <v>2999</v>
      </c>
      <c r="W20" s="2">
        <v>2380</v>
      </c>
      <c r="X20" s="2">
        <v>43069</v>
      </c>
      <c r="Y20" s="2">
        <v>37116</v>
      </c>
      <c r="Z20" s="2"/>
      <c r="AQ20" s="20">
        <f>(AO20-AP20)/7</f>
        <v>0</v>
      </c>
      <c r="AR20" s="20"/>
      <c r="AT20" s="19" t="s">
        <v>51</v>
      </c>
      <c r="AU20" s="2">
        <v>4505</v>
      </c>
      <c r="AV20" s="2">
        <v>3873</v>
      </c>
      <c r="AW20" s="2">
        <v>11379</v>
      </c>
      <c r="AX20" s="2">
        <v>10514</v>
      </c>
      <c r="AY20" s="2">
        <v>7217</v>
      </c>
      <c r="AZ20" s="2">
        <v>6252</v>
      </c>
      <c r="BA20" s="2">
        <v>5852</v>
      </c>
      <c r="BB20" s="2">
        <v>4615</v>
      </c>
      <c r="BC20" s="2">
        <v>5044</v>
      </c>
      <c r="BD20" s="2">
        <v>4000</v>
      </c>
      <c r="BE20" s="2">
        <v>6073</v>
      </c>
      <c r="BF20" s="2">
        <v>5482</v>
      </c>
      <c r="BG20" s="2">
        <v>2999</v>
      </c>
      <c r="BH20" s="2">
        <v>2380</v>
      </c>
      <c r="BI20" s="2">
        <v>43069</v>
      </c>
      <c r="BJ20" s="2">
        <v>37116</v>
      </c>
      <c r="BK20" s="2"/>
      <c r="BZ20" s="19" t="s">
        <v>51</v>
      </c>
      <c r="CA20" s="2">
        <v>4505</v>
      </c>
      <c r="CB20" s="2">
        <v>3873</v>
      </c>
      <c r="CC20" s="2">
        <v>11379</v>
      </c>
      <c r="CD20" s="2">
        <v>10514</v>
      </c>
      <c r="CE20" s="2">
        <v>7217</v>
      </c>
      <c r="CF20" s="2">
        <v>6252</v>
      </c>
      <c r="CG20" s="2">
        <v>5852</v>
      </c>
      <c r="CH20" s="2">
        <v>4615</v>
      </c>
      <c r="CI20" s="2">
        <v>5044</v>
      </c>
      <c r="CJ20" s="2">
        <v>4000</v>
      </c>
      <c r="CK20" s="2">
        <v>6073</v>
      </c>
      <c r="CL20" s="2">
        <v>5482</v>
      </c>
      <c r="CM20" s="2">
        <v>2999</v>
      </c>
      <c r="CN20" s="2">
        <v>2380</v>
      </c>
      <c r="CO20" s="2">
        <v>43069</v>
      </c>
      <c r="CP20" s="2">
        <v>37116</v>
      </c>
      <c r="DP20" s="125">
        <v>44179</v>
      </c>
      <c r="DQ20" s="2">
        <v>4288</v>
      </c>
      <c r="DR20" s="2">
        <v>3186</v>
      </c>
    </row>
    <row r="21" spans="2:133" x14ac:dyDescent="0.35">
      <c r="I21" s="19" t="s">
        <v>39</v>
      </c>
      <c r="J21" s="2">
        <v>47719</v>
      </c>
      <c r="K21" s="2">
        <v>37788</v>
      </c>
      <c r="L21" s="2">
        <v>120248</v>
      </c>
      <c r="M21" s="2">
        <v>105912</v>
      </c>
      <c r="N21" s="2">
        <v>79570</v>
      </c>
      <c r="O21" s="2">
        <v>63129</v>
      </c>
      <c r="P21" s="2">
        <v>70305</v>
      </c>
      <c r="Q21" s="2">
        <v>52409</v>
      </c>
      <c r="R21" s="2">
        <v>58748</v>
      </c>
      <c r="S21" s="2">
        <v>44531</v>
      </c>
      <c r="T21" s="2">
        <v>65523</v>
      </c>
      <c r="U21" s="2">
        <v>54465</v>
      </c>
      <c r="V21" s="2">
        <v>34140</v>
      </c>
      <c r="W21" s="2">
        <v>25051</v>
      </c>
      <c r="X21" s="2">
        <v>476253</v>
      </c>
      <c r="Y21" s="2">
        <v>383285</v>
      </c>
      <c r="Z21" s="2"/>
      <c r="AT21" s="19" t="s">
        <v>39</v>
      </c>
      <c r="AU21" s="2">
        <v>47719</v>
      </c>
      <c r="AV21" s="2">
        <v>37788</v>
      </c>
      <c r="AW21" s="2">
        <v>120248</v>
      </c>
      <c r="AX21" s="2">
        <v>105912</v>
      </c>
      <c r="AY21" s="2">
        <v>79570</v>
      </c>
      <c r="AZ21" s="2">
        <v>63129</v>
      </c>
      <c r="BA21" s="2">
        <v>70305</v>
      </c>
      <c r="BB21" s="2">
        <v>52409</v>
      </c>
      <c r="BC21" s="2">
        <v>58748</v>
      </c>
      <c r="BD21" s="2">
        <v>44531</v>
      </c>
      <c r="BE21" s="2">
        <v>65523</v>
      </c>
      <c r="BF21" s="2">
        <v>54465</v>
      </c>
      <c r="BG21" s="2">
        <v>34140</v>
      </c>
      <c r="BH21" s="2">
        <v>25051</v>
      </c>
      <c r="BI21" s="2">
        <v>476253</v>
      </c>
      <c r="BJ21" s="2">
        <v>383285</v>
      </c>
      <c r="BK21" s="2"/>
      <c r="BZ21" s="19" t="s">
        <v>39</v>
      </c>
      <c r="CA21" s="2">
        <v>47719</v>
      </c>
      <c r="CB21" s="2">
        <v>37788</v>
      </c>
      <c r="CC21" s="2">
        <v>120248</v>
      </c>
      <c r="CD21" s="2">
        <v>105912</v>
      </c>
      <c r="CE21" s="2">
        <v>79570</v>
      </c>
      <c r="CF21" s="2">
        <v>63129</v>
      </c>
      <c r="CG21" s="2">
        <v>70305</v>
      </c>
      <c r="CH21" s="2">
        <v>52409</v>
      </c>
      <c r="CI21" s="2">
        <v>58748</v>
      </c>
      <c r="CJ21" s="2">
        <v>44531</v>
      </c>
      <c r="CK21" s="2">
        <v>65523</v>
      </c>
      <c r="CL21" s="2">
        <v>54465</v>
      </c>
      <c r="CM21" s="2">
        <v>34140</v>
      </c>
      <c r="CN21" s="2">
        <v>25051</v>
      </c>
      <c r="CO21" s="2">
        <v>476253</v>
      </c>
      <c r="CP21" s="2">
        <v>383285</v>
      </c>
      <c r="CS21" s="148" t="s">
        <v>616</v>
      </c>
      <c r="DD21" s="148" t="s">
        <v>184</v>
      </c>
      <c r="DP21" s="125">
        <v>44180</v>
      </c>
      <c r="DQ21" s="2">
        <v>4274</v>
      </c>
      <c r="DR21" s="2">
        <v>3344</v>
      </c>
    </row>
    <row r="22" spans="2:133" x14ac:dyDescent="0.35">
      <c r="DP22" s="125">
        <v>44181</v>
      </c>
      <c r="DQ22" s="2">
        <v>4310</v>
      </c>
      <c r="DR22" s="2">
        <v>3409</v>
      </c>
    </row>
    <row r="23" spans="2:133" x14ac:dyDescent="0.35">
      <c r="CT23" t="s">
        <v>41</v>
      </c>
      <c r="CU23" t="s">
        <v>1</v>
      </c>
      <c r="CV23" t="s">
        <v>226</v>
      </c>
      <c r="CW23" t="s">
        <v>254</v>
      </c>
      <c r="CX23" t="s">
        <v>223</v>
      </c>
      <c r="CY23" t="s">
        <v>224</v>
      </c>
      <c r="CZ23" t="s">
        <v>257</v>
      </c>
      <c r="DA23" t="s">
        <v>256</v>
      </c>
      <c r="DE23" t="s">
        <v>41</v>
      </c>
      <c r="DF23" t="s">
        <v>1</v>
      </c>
      <c r="DG23" t="s">
        <v>226</v>
      </c>
      <c r="DH23" t="s">
        <v>254</v>
      </c>
      <c r="DI23" t="s">
        <v>223</v>
      </c>
      <c r="DJ23" t="s">
        <v>224</v>
      </c>
      <c r="DK23" t="s">
        <v>257</v>
      </c>
      <c r="DL23" t="s">
        <v>256</v>
      </c>
      <c r="DP23" s="125">
        <v>44182</v>
      </c>
      <c r="DQ23" s="2">
        <v>4263</v>
      </c>
      <c r="DR23" s="2">
        <v>3360</v>
      </c>
    </row>
    <row r="24" spans="2:133" x14ac:dyDescent="0.35">
      <c r="CS24" s="145" t="s">
        <v>43</v>
      </c>
      <c r="CT24" s="146">
        <f>VLOOKUP(CS24,$BZ$8:$CP$1048576,16,FALSE)</f>
        <v>30906</v>
      </c>
      <c r="CU24" s="146">
        <f>VLOOKUP(CS24,$BZ$8:$CP$1048576,4,FALSE)</f>
        <v>6930</v>
      </c>
      <c r="CV24" s="146">
        <f>(VLOOKUP($CS$6,$BZ$8:$CP$1048576,6,FALSE))</f>
        <v>5071</v>
      </c>
      <c r="CW24" s="146">
        <f>(VLOOKUP(CS24,$BZ$8:$CP$1048576,8,FALSE))</f>
        <v>5148</v>
      </c>
      <c r="CX24" s="146">
        <f>(VLOOKUP(CS24,$BZ$8:$CP$1048576,12,FALSE))</f>
        <v>3987</v>
      </c>
      <c r="CY24" s="146">
        <f>(VLOOKUP(CS24,$BZ$8:$CP$1048576,14,FALSE))</f>
        <v>2707</v>
      </c>
      <c r="CZ24" s="146">
        <f>VLOOKUP(CS24,$BZ$8:$CP$1048576,2,FALSE)</f>
        <v>2770</v>
      </c>
      <c r="DA24" s="146">
        <f>VLOOKUP(CS24,$BZ$8:$CP$1048576,10,FALSE)</f>
        <v>4293</v>
      </c>
      <c r="DD24" s="145" t="s">
        <v>43</v>
      </c>
      <c r="DE24" s="146">
        <f t="shared" ref="DE24:DE36" si="36">(VLOOKUP(DD24,$BZ$8:$CP$1048576,17,FALSE))</f>
        <v>22783</v>
      </c>
      <c r="DF24" s="146">
        <f t="shared" ref="DF24:DF36" si="37">(VLOOKUP(DD24,$BZ$8:$CP$1048576,5,FALSE))</f>
        <v>5668</v>
      </c>
      <c r="DG24" s="146">
        <f>(VLOOKUP($CS$6,$BZ$8:$CP$1048576,7,FALSE))</f>
        <v>3867</v>
      </c>
      <c r="DH24" s="146">
        <f t="shared" ref="DH24:DH36" si="38">(VLOOKUP(DD24,$BZ$8:$CP$1048576,9,FALSE))</f>
        <v>3668</v>
      </c>
      <c r="DI24" s="146">
        <f t="shared" ref="DI24:DI36" si="39">(VLOOKUP(DD24,$BZ$8:$CP$1048576,13,FALSE))</f>
        <v>2981</v>
      </c>
      <c r="DJ24" s="146">
        <f t="shared" ref="DJ24:DJ36" si="40">(VLOOKUP(DD24,$BZ$8:$CP$1048576,15,FALSE))</f>
        <v>1656</v>
      </c>
      <c r="DK24" s="146">
        <f t="shared" ref="DK24:DK36" si="41">(VLOOKUP(DD24,$BZ$8:$CP$1048576,3,FALSE))</f>
        <v>1953</v>
      </c>
      <c r="DL24" s="146">
        <f t="shared" ref="DL24:DL36" si="42">(VLOOKUP(DD24,$BZ$8:$CP$1048576,11,FALSE))</f>
        <v>2990</v>
      </c>
      <c r="DP24" s="125">
        <v>44183</v>
      </c>
      <c r="DQ24" s="2">
        <v>4317</v>
      </c>
      <c r="DR24" s="2">
        <v>3362</v>
      </c>
    </row>
    <row r="25" spans="2:133" x14ac:dyDescent="0.35">
      <c r="CS25" s="145" t="s">
        <v>44</v>
      </c>
      <c r="CT25" s="146">
        <f t="shared" ref="CT25:CT36" si="43">VLOOKUP(CS25,$BZ$8:$CP$1048576,16,FALSE)</f>
        <v>31015</v>
      </c>
      <c r="CU25" s="146">
        <f t="shared" ref="CU25:CU36" si="44">VLOOKUP(CS25,$BZ$8:$CP$1048576,4,FALSE)</f>
        <v>7051</v>
      </c>
      <c r="CV25" s="146">
        <f t="shared" ref="CV25:CV36" si="45">(VLOOKUP(CS25,$BZ$8:$CP$1048576,6,FALSE))</f>
        <v>5547</v>
      </c>
      <c r="CW25" s="146">
        <f t="shared" ref="CW25:CW36" si="46">(VLOOKUP(CS25,$BZ$8:$CP$1048576,8,FALSE))</f>
        <v>5061</v>
      </c>
      <c r="CX25" s="146">
        <f t="shared" ref="CX25:CX36" si="47">(VLOOKUP(CS25,$BZ$8:$CP$1048576,12,FALSE))</f>
        <v>3976</v>
      </c>
      <c r="CY25" s="146">
        <f t="shared" ref="CY25:CY36" si="48">(VLOOKUP(CS25,$BZ$8:$CP$1048576,14,FALSE))</f>
        <v>2440</v>
      </c>
      <c r="CZ25" s="146">
        <f t="shared" ref="CZ25:CZ36" si="49">VLOOKUP(CS25,$BZ$8:$CP$1048576,2,FALSE)</f>
        <v>2683</v>
      </c>
      <c r="DA25" s="146">
        <f t="shared" ref="DA25:DA36" si="50">VLOOKUP(CS25,$BZ$8:$CP$1048576,10,FALSE)</f>
        <v>4257</v>
      </c>
      <c r="DD25" s="145" t="s">
        <v>44</v>
      </c>
      <c r="DE25" s="146">
        <f t="shared" si="36"/>
        <v>23314</v>
      </c>
      <c r="DF25" s="146">
        <f t="shared" si="37"/>
        <v>5871</v>
      </c>
      <c r="DG25" s="146">
        <f t="shared" ref="DG25:DG36" si="51">(VLOOKUP(DD25,$BZ$8:$CP$1048576,7,FALSE))</f>
        <v>4085</v>
      </c>
      <c r="DH25" s="146">
        <f t="shared" si="38"/>
        <v>3590</v>
      </c>
      <c r="DI25" s="146">
        <f t="shared" si="39"/>
        <v>3005</v>
      </c>
      <c r="DJ25" s="146">
        <f t="shared" si="40"/>
        <v>1687</v>
      </c>
      <c r="DK25" s="146">
        <f t="shared" si="41"/>
        <v>2088</v>
      </c>
      <c r="DL25" s="146">
        <f t="shared" si="42"/>
        <v>2988</v>
      </c>
      <c r="DP25" s="125">
        <v>44184</v>
      </c>
      <c r="DQ25" s="2">
        <v>4356</v>
      </c>
      <c r="DR25" s="2">
        <v>3337</v>
      </c>
    </row>
    <row r="26" spans="2:133" x14ac:dyDescent="0.35">
      <c r="CS26" s="145" t="s">
        <v>45</v>
      </c>
      <c r="CT26" s="146">
        <f t="shared" si="43"/>
        <v>30123</v>
      </c>
      <c r="CU26" s="146">
        <f t="shared" si="44"/>
        <v>6930</v>
      </c>
      <c r="CV26" s="146">
        <f t="shared" si="45"/>
        <v>5281</v>
      </c>
      <c r="CW26" s="146">
        <f t="shared" si="46"/>
        <v>4949</v>
      </c>
      <c r="CX26" s="146">
        <f t="shared" si="47"/>
        <v>3953</v>
      </c>
      <c r="CY26" s="146">
        <f t="shared" si="48"/>
        <v>2203</v>
      </c>
      <c r="CZ26" s="146">
        <f t="shared" si="49"/>
        <v>2691</v>
      </c>
      <c r="DA26" s="146">
        <f t="shared" si="50"/>
        <v>4116</v>
      </c>
      <c r="DD26" s="145" t="s">
        <v>45</v>
      </c>
      <c r="DE26" s="146">
        <f t="shared" si="36"/>
        <v>23207</v>
      </c>
      <c r="DF26" s="146">
        <f t="shared" si="37"/>
        <v>5966</v>
      </c>
      <c r="DG26" s="146">
        <f t="shared" si="51"/>
        <v>3766</v>
      </c>
      <c r="DH26" s="146">
        <f t="shared" si="38"/>
        <v>3575</v>
      </c>
      <c r="DI26" s="146">
        <f t="shared" si="39"/>
        <v>3154</v>
      </c>
      <c r="DJ26" s="146">
        <f t="shared" si="40"/>
        <v>1711</v>
      </c>
      <c r="DK26" s="146">
        <f t="shared" si="41"/>
        <v>2101</v>
      </c>
      <c r="DL26" s="146">
        <f t="shared" si="42"/>
        <v>2934</v>
      </c>
      <c r="DP26" s="125">
        <v>44185</v>
      </c>
      <c r="DQ26" s="2">
        <v>4315</v>
      </c>
      <c r="DR26" s="2">
        <v>3209</v>
      </c>
    </row>
    <row r="27" spans="2:133" x14ac:dyDescent="0.35">
      <c r="CS27" s="145" t="s">
        <v>46</v>
      </c>
      <c r="CT27" s="146">
        <f t="shared" si="43"/>
        <v>30757</v>
      </c>
      <c r="CU27" s="146">
        <f t="shared" si="44"/>
        <v>7180</v>
      </c>
      <c r="CV27" s="146">
        <f t="shared" si="45"/>
        <v>5325</v>
      </c>
      <c r="CW27" s="146">
        <f t="shared" si="46"/>
        <v>4841</v>
      </c>
      <c r="CX27" s="146">
        <f t="shared" si="47"/>
        <v>4083</v>
      </c>
      <c r="CY27" s="146">
        <f t="shared" si="48"/>
        <v>2220</v>
      </c>
      <c r="CZ27" s="146">
        <f t="shared" si="49"/>
        <v>3052</v>
      </c>
      <c r="DA27" s="146">
        <f t="shared" si="50"/>
        <v>4056</v>
      </c>
      <c r="DD27" s="145" t="s">
        <v>46</v>
      </c>
      <c r="DE27" s="146">
        <f t="shared" si="36"/>
        <v>23381</v>
      </c>
      <c r="DF27" s="146">
        <f t="shared" si="37"/>
        <v>6371</v>
      </c>
      <c r="DG27" s="146">
        <f t="shared" si="51"/>
        <v>3732</v>
      </c>
      <c r="DH27" s="146">
        <f t="shared" si="38"/>
        <v>3442</v>
      </c>
      <c r="DI27" s="146">
        <f t="shared" si="39"/>
        <v>3199</v>
      </c>
      <c r="DJ27" s="146">
        <f t="shared" si="40"/>
        <v>1529</v>
      </c>
      <c r="DK27" s="146">
        <f t="shared" si="41"/>
        <v>2326</v>
      </c>
      <c r="DL27" s="146">
        <f t="shared" si="42"/>
        <v>2782</v>
      </c>
      <c r="DP27" s="125">
        <v>44186</v>
      </c>
      <c r="DQ27" s="2">
        <v>4302</v>
      </c>
      <c r="DR27" s="2">
        <v>3245</v>
      </c>
    </row>
    <row r="28" spans="2:133" x14ac:dyDescent="0.35">
      <c r="CS28" s="20" t="s">
        <v>47</v>
      </c>
      <c r="CT28" s="146">
        <f t="shared" si="43"/>
        <v>32705</v>
      </c>
      <c r="CU28" s="146">
        <f t="shared" si="44"/>
        <v>8105</v>
      </c>
      <c r="CV28" s="146">
        <f t="shared" si="45"/>
        <v>5405</v>
      </c>
      <c r="CW28" s="146">
        <f t="shared" si="46"/>
        <v>4817</v>
      </c>
      <c r="CX28" s="146">
        <f t="shared" si="47"/>
        <v>4515</v>
      </c>
      <c r="CY28" s="146">
        <f t="shared" si="48"/>
        <v>2295</v>
      </c>
      <c r="CZ28" s="146">
        <f t="shared" si="49"/>
        <v>3508</v>
      </c>
      <c r="DA28" s="146">
        <f t="shared" si="50"/>
        <v>4060</v>
      </c>
      <c r="DD28" s="20" t="s">
        <v>47</v>
      </c>
      <c r="DE28" s="146">
        <f t="shared" si="36"/>
        <v>26016</v>
      </c>
      <c r="DF28" s="146">
        <f t="shared" si="37"/>
        <v>7111</v>
      </c>
      <c r="DG28" s="146">
        <f t="shared" si="51"/>
        <v>4049</v>
      </c>
      <c r="DH28" s="146">
        <f t="shared" si="38"/>
        <v>3532</v>
      </c>
      <c r="DI28" s="146">
        <f t="shared" si="39"/>
        <v>3830</v>
      </c>
      <c r="DJ28" s="146">
        <f t="shared" si="40"/>
        <v>1600</v>
      </c>
      <c r="DK28" s="146">
        <f t="shared" si="41"/>
        <v>2919</v>
      </c>
      <c r="DL28" s="146">
        <f t="shared" si="42"/>
        <v>2975</v>
      </c>
      <c r="DP28" s="125">
        <v>44187</v>
      </c>
      <c r="DQ28" s="2">
        <v>4364</v>
      </c>
      <c r="DR28" s="2">
        <v>3360</v>
      </c>
    </row>
    <row r="29" spans="2:133" x14ac:dyDescent="0.35">
      <c r="CS29" s="20" t="s">
        <v>48</v>
      </c>
      <c r="CT29" s="146">
        <f t="shared" si="43"/>
        <v>35942</v>
      </c>
      <c r="CU29" s="146">
        <f t="shared" si="44"/>
        <v>9592</v>
      </c>
      <c r="CV29" s="146">
        <f t="shared" si="45"/>
        <v>5716</v>
      </c>
      <c r="CW29" s="146">
        <f t="shared" si="46"/>
        <v>5094</v>
      </c>
      <c r="CX29" s="146">
        <f t="shared" si="47"/>
        <v>4979</v>
      </c>
      <c r="CY29" s="146">
        <f t="shared" si="48"/>
        <v>2391</v>
      </c>
      <c r="CZ29" s="146">
        <f t="shared" si="49"/>
        <v>4037</v>
      </c>
      <c r="DA29" s="146">
        <f t="shared" si="50"/>
        <v>4133</v>
      </c>
      <c r="DD29" s="20" t="s">
        <v>48</v>
      </c>
      <c r="DE29" s="146">
        <f t="shared" si="36"/>
        <v>29986</v>
      </c>
      <c r="DF29" s="146">
        <f t="shared" si="37"/>
        <v>8429</v>
      </c>
      <c r="DG29" s="146">
        <f t="shared" si="51"/>
        <v>4578</v>
      </c>
      <c r="DH29" s="146">
        <f t="shared" si="38"/>
        <v>3851</v>
      </c>
      <c r="DI29" s="146">
        <f t="shared" si="39"/>
        <v>4453</v>
      </c>
      <c r="DJ29" s="146">
        <f t="shared" si="40"/>
        <v>1869</v>
      </c>
      <c r="DK29" s="146">
        <f t="shared" si="41"/>
        <v>3514</v>
      </c>
      <c r="DL29" s="146">
        <f t="shared" si="42"/>
        <v>3292</v>
      </c>
      <c r="DP29" s="125">
        <v>44188</v>
      </c>
      <c r="DQ29" s="2">
        <v>4398</v>
      </c>
      <c r="DR29" s="2">
        <v>3401</v>
      </c>
    </row>
    <row r="30" spans="2:133" x14ac:dyDescent="0.35">
      <c r="CS30" s="20" t="s">
        <v>49</v>
      </c>
      <c r="CT30" s="146">
        <f t="shared" si="43"/>
        <v>39737</v>
      </c>
      <c r="CU30" s="146">
        <f t="shared" si="44"/>
        <v>10872</v>
      </c>
      <c r="CV30" s="146">
        <f t="shared" si="45"/>
        <v>6264</v>
      </c>
      <c r="CW30" s="146">
        <f t="shared" si="46"/>
        <v>5459</v>
      </c>
      <c r="CX30" s="146">
        <f t="shared" si="47"/>
        <v>5643</v>
      </c>
      <c r="CY30" s="146">
        <f t="shared" si="48"/>
        <v>2709</v>
      </c>
      <c r="CZ30" s="146">
        <f t="shared" si="49"/>
        <v>4388</v>
      </c>
      <c r="DA30" s="146">
        <f t="shared" si="50"/>
        <v>4402</v>
      </c>
      <c r="DD30" s="20" t="s">
        <v>49</v>
      </c>
      <c r="DE30" s="146">
        <f t="shared" si="36"/>
        <v>34365</v>
      </c>
      <c r="DF30" s="146">
        <f t="shared" si="37"/>
        <v>10080</v>
      </c>
      <c r="DG30" s="146">
        <f t="shared" si="51"/>
        <v>5299</v>
      </c>
      <c r="DH30" s="146">
        <f t="shared" si="38"/>
        <v>4235</v>
      </c>
      <c r="DI30" s="146">
        <f t="shared" si="39"/>
        <v>5141</v>
      </c>
      <c r="DJ30" s="146">
        <f t="shared" si="40"/>
        <v>2241</v>
      </c>
      <c r="DK30" s="146">
        <f t="shared" si="41"/>
        <v>3744</v>
      </c>
      <c r="DL30" s="146">
        <f t="shared" si="42"/>
        <v>3625</v>
      </c>
      <c r="DP30" s="125">
        <v>44189</v>
      </c>
      <c r="DQ30" s="2">
        <v>4395</v>
      </c>
      <c r="DR30" s="2">
        <v>3404</v>
      </c>
    </row>
    <row r="31" spans="2:133" x14ac:dyDescent="0.35">
      <c r="CS31" s="20" t="s">
        <v>50</v>
      </c>
      <c r="CT31" s="146">
        <f t="shared" si="43"/>
        <v>42402</v>
      </c>
      <c r="CU31" s="146">
        <f t="shared" si="44"/>
        <v>11310</v>
      </c>
      <c r="CV31" s="146">
        <f t="shared" si="45"/>
        <v>7026</v>
      </c>
      <c r="CW31" s="146">
        <f t="shared" si="46"/>
        <v>5674</v>
      </c>
      <c r="CX31" s="146">
        <f t="shared" si="47"/>
        <v>6167</v>
      </c>
      <c r="CY31" s="146">
        <f t="shared" si="48"/>
        <v>2900</v>
      </c>
      <c r="CZ31" s="146">
        <f t="shared" si="49"/>
        <v>4536</v>
      </c>
      <c r="DA31" s="146">
        <f t="shared" si="50"/>
        <v>4789</v>
      </c>
      <c r="DD31" s="20" t="s">
        <v>50</v>
      </c>
      <c r="DE31" s="146">
        <f t="shared" si="36"/>
        <v>36947</v>
      </c>
      <c r="DF31" s="146">
        <f t="shared" si="37"/>
        <v>10540</v>
      </c>
      <c r="DG31" s="146">
        <f t="shared" si="51"/>
        <v>6048</v>
      </c>
      <c r="DH31" s="146">
        <f t="shared" si="38"/>
        <v>4470</v>
      </c>
      <c r="DI31" s="146">
        <f t="shared" si="39"/>
        <v>5618</v>
      </c>
      <c r="DJ31" s="146">
        <f t="shared" si="40"/>
        <v>2388</v>
      </c>
      <c r="DK31" s="146">
        <f t="shared" si="41"/>
        <v>3906</v>
      </c>
      <c r="DL31" s="146">
        <f t="shared" si="42"/>
        <v>3977</v>
      </c>
      <c r="DP31" s="125">
        <v>44190</v>
      </c>
      <c r="DQ31" s="2">
        <v>4420</v>
      </c>
      <c r="DR31" s="2">
        <v>3329</v>
      </c>
    </row>
    <row r="32" spans="2:133" x14ac:dyDescent="0.35">
      <c r="CS32" s="20" t="s">
        <v>51</v>
      </c>
      <c r="CT32" s="146">
        <f t="shared" si="43"/>
        <v>43069</v>
      </c>
      <c r="CU32" s="146">
        <f t="shared" si="44"/>
        <v>11379</v>
      </c>
      <c r="CV32" s="146">
        <f t="shared" si="45"/>
        <v>7217</v>
      </c>
      <c r="CW32" s="146">
        <f t="shared" si="46"/>
        <v>5852</v>
      </c>
      <c r="CX32" s="146">
        <f t="shared" si="47"/>
        <v>6073</v>
      </c>
      <c r="CY32" s="146">
        <f t="shared" si="48"/>
        <v>2999</v>
      </c>
      <c r="CZ32" s="146">
        <f t="shared" si="49"/>
        <v>4505</v>
      </c>
      <c r="DA32" s="146">
        <f t="shared" si="50"/>
        <v>5044</v>
      </c>
      <c r="DD32" s="20" t="s">
        <v>51</v>
      </c>
      <c r="DE32" s="146">
        <f t="shared" si="36"/>
        <v>37116</v>
      </c>
      <c r="DF32" s="146">
        <f t="shared" si="37"/>
        <v>10514</v>
      </c>
      <c r="DG32" s="146">
        <f t="shared" si="51"/>
        <v>6252</v>
      </c>
      <c r="DH32" s="146">
        <f t="shared" si="38"/>
        <v>4615</v>
      </c>
      <c r="DI32" s="146">
        <f t="shared" si="39"/>
        <v>5482</v>
      </c>
      <c r="DJ32" s="146">
        <f t="shared" si="40"/>
        <v>2380</v>
      </c>
      <c r="DK32" s="146">
        <f t="shared" si="41"/>
        <v>3873</v>
      </c>
      <c r="DL32" s="146">
        <f t="shared" si="42"/>
        <v>4000</v>
      </c>
      <c r="DP32" s="125">
        <v>44191</v>
      </c>
      <c r="DQ32" s="2">
        <v>4414</v>
      </c>
      <c r="DR32" s="2">
        <v>3290</v>
      </c>
    </row>
    <row r="33" spans="97:122" x14ac:dyDescent="0.35">
      <c r="CS33" s="20" t="s">
        <v>52</v>
      </c>
      <c r="CT33" s="146">
        <f t="shared" si="43"/>
        <v>42363</v>
      </c>
      <c r="CU33" s="146">
        <f t="shared" si="44"/>
        <v>11170</v>
      </c>
      <c r="CV33" s="146">
        <f t="shared" si="45"/>
        <v>7166</v>
      </c>
      <c r="CW33" s="146">
        <f t="shared" si="46"/>
        <v>5930</v>
      </c>
      <c r="CX33" s="146">
        <f t="shared" si="47"/>
        <v>5823</v>
      </c>
      <c r="CY33" s="146">
        <f t="shared" si="48"/>
        <v>2951</v>
      </c>
      <c r="CZ33" s="146">
        <f t="shared" si="49"/>
        <v>4303</v>
      </c>
      <c r="DA33" s="146">
        <f t="shared" si="50"/>
        <v>5020</v>
      </c>
      <c r="DD33" s="20" t="s">
        <v>52</v>
      </c>
      <c r="DE33" s="146">
        <f t="shared" si="36"/>
        <v>35271</v>
      </c>
      <c r="DF33" s="146">
        <f t="shared" si="37"/>
        <v>10036</v>
      </c>
      <c r="DG33" s="146">
        <f t="shared" si="51"/>
        <v>6005</v>
      </c>
      <c r="DH33" s="146">
        <f t="shared" si="38"/>
        <v>4558</v>
      </c>
      <c r="DI33" s="146">
        <f t="shared" si="39"/>
        <v>5006</v>
      </c>
      <c r="DJ33" s="146">
        <f t="shared" si="40"/>
        <v>2341</v>
      </c>
      <c r="DK33" s="146">
        <f t="shared" si="41"/>
        <v>3387</v>
      </c>
      <c r="DL33" s="146">
        <f t="shared" si="42"/>
        <v>3938</v>
      </c>
      <c r="DP33" s="125">
        <v>44192</v>
      </c>
      <c r="DQ33" s="2">
        <v>4464</v>
      </c>
      <c r="DR33" s="2">
        <v>3352</v>
      </c>
    </row>
    <row r="34" spans="97:122" x14ac:dyDescent="0.35">
      <c r="CS34" s="20" t="s">
        <v>53</v>
      </c>
      <c r="CT34" s="146">
        <f t="shared" si="43"/>
        <v>40860</v>
      </c>
      <c r="CU34" s="146">
        <f t="shared" si="44"/>
        <v>10698</v>
      </c>
      <c r="CV34" s="146">
        <f t="shared" si="45"/>
        <v>6865</v>
      </c>
      <c r="CW34" s="146">
        <f t="shared" si="46"/>
        <v>5798</v>
      </c>
      <c r="CX34" s="146">
        <f t="shared" si="47"/>
        <v>5669</v>
      </c>
      <c r="CY34" s="146">
        <f t="shared" si="48"/>
        <v>2859</v>
      </c>
      <c r="CZ34" s="146">
        <f t="shared" si="49"/>
        <v>4028</v>
      </c>
      <c r="DA34" s="146">
        <f t="shared" si="50"/>
        <v>4943</v>
      </c>
      <c r="DD34" s="20" t="s">
        <v>53</v>
      </c>
      <c r="DE34" s="146">
        <f t="shared" si="36"/>
        <v>32582</v>
      </c>
      <c r="DF34" s="146">
        <f t="shared" si="37"/>
        <v>9301</v>
      </c>
      <c r="DG34" s="146">
        <f t="shared" si="51"/>
        <v>5584</v>
      </c>
      <c r="DH34" s="146">
        <f t="shared" si="38"/>
        <v>4330</v>
      </c>
      <c r="DI34" s="146">
        <f t="shared" si="39"/>
        <v>4635</v>
      </c>
      <c r="DJ34" s="146">
        <f t="shared" si="40"/>
        <v>2065</v>
      </c>
      <c r="DK34" s="146">
        <f t="shared" si="41"/>
        <v>2863</v>
      </c>
      <c r="DL34" s="146">
        <f t="shared" si="42"/>
        <v>3804</v>
      </c>
      <c r="DP34" s="125">
        <v>44193</v>
      </c>
      <c r="DQ34" s="2">
        <v>4488</v>
      </c>
      <c r="DR34" s="2">
        <v>3421</v>
      </c>
    </row>
    <row r="35" spans="97:122" x14ac:dyDescent="0.35">
      <c r="CS35" s="20" t="s">
        <v>54</v>
      </c>
      <c r="CT35" s="146">
        <f t="shared" si="43"/>
        <v>39206</v>
      </c>
      <c r="CU35" s="146">
        <f t="shared" si="44"/>
        <v>9948</v>
      </c>
      <c r="CV35" s="146">
        <f t="shared" si="45"/>
        <v>6476</v>
      </c>
      <c r="CW35" s="146">
        <f t="shared" si="46"/>
        <v>5876</v>
      </c>
      <c r="CX35" s="146">
        <f t="shared" si="47"/>
        <v>5469</v>
      </c>
      <c r="CY35" s="146">
        <f t="shared" si="48"/>
        <v>2760</v>
      </c>
      <c r="CZ35" s="146">
        <f t="shared" si="49"/>
        <v>3749</v>
      </c>
      <c r="DA35" s="146">
        <f t="shared" si="50"/>
        <v>4928</v>
      </c>
      <c r="DD35" s="20" t="s">
        <v>54</v>
      </c>
      <c r="DE35" s="146">
        <f t="shared" si="36"/>
        <v>30340</v>
      </c>
      <c r="DF35" s="146">
        <f t="shared" si="37"/>
        <v>8441</v>
      </c>
      <c r="DG35" s="146">
        <f t="shared" si="51"/>
        <v>5098</v>
      </c>
      <c r="DH35" s="146">
        <f t="shared" si="38"/>
        <v>4362</v>
      </c>
      <c r="DI35" s="146">
        <f t="shared" si="39"/>
        <v>4174</v>
      </c>
      <c r="DJ35" s="146">
        <f t="shared" si="40"/>
        <v>1872</v>
      </c>
      <c r="DK35" s="146">
        <f t="shared" si="41"/>
        <v>2658</v>
      </c>
      <c r="DL35" s="146">
        <f t="shared" si="42"/>
        <v>3735</v>
      </c>
      <c r="DP35" s="125">
        <v>44194</v>
      </c>
      <c r="DQ35" s="2">
        <v>4553</v>
      </c>
      <c r="DR35" s="2">
        <v>3556</v>
      </c>
    </row>
    <row r="36" spans="97:122" x14ac:dyDescent="0.35">
      <c r="CS36" s="20" t="s">
        <v>55</v>
      </c>
      <c r="CT36" s="146">
        <f t="shared" si="43"/>
        <v>37168</v>
      </c>
      <c r="CU36" s="146">
        <f t="shared" si="44"/>
        <v>9083</v>
      </c>
      <c r="CV36" s="146">
        <f t="shared" si="45"/>
        <v>6211</v>
      </c>
      <c r="CW36" s="146">
        <f t="shared" si="46"/>
        <v>5806</v>
      </c>
      <c r="CX36" s="146">
        <f t="shared" si="47"/>
        <v>5186</v>
      </c>
      <c r="CY36" s="146">
        <f t="shared" si="48"/>
        <v>2706</v>
      </c>
      <c r="CZ36" s="146">
        <f t="shared" si="49"/>
        <v>3469</v>
      </c>
      <c r="DA36" s="146">
        <f t="shared" si="50"/>
        <v>4707</v>
      </c>
      <c r="DD36" s="20" t="s">
        <v>55</v>
      </c>
      <c r="DE36" s="146">
        <f t="shared" si="36"/>
        <v>27977</v>
      </c>
      <c r="DF36" s="146">
        <f t="shared" si="37"/>
        <v>7584</v>
      </c>
      <c r="DG36" s="146">
        <f t="shared" si="51"/>
        <v>4766</v>
      </c>
      <c r="DH36" s="146">
        <f t="shared" si="38"/>
        <v>4181</v>
      </c>
      <c r="DI36" s="146">
        <f t="shared" si="39"/>
        <v>3787</v>
      </c>
      <c r="DJ36" s="146">
        <f t="shared" si="40"/>
        <v>1712</v>
      </c>
      <c r="DK36" s="146">
        <f t="shared" si="41"/>
        <v>2456</v>
      </c>
      <c r="DL36" s="146">
        <f t="shared" si="42"/>
        <v>3491</v>
      </c>
      <c r="DP36" s="125">
        <v>44195</v>
      </c>
      <c r="DQ36" s="2">
        <v>4619</v>
      </c>
      <c r="DR36" s="2">
        <v>3711</v>
      </c>
    </row>
    <row r="37" spans="97:122" x14ac:dyDescent="0.35">
      <c r="DP37" s="125">
        <v>44196</v>
      </c>
      <c r="DQ37" s="2">
        <v>4729</v>
      </c>
      <c r="DR37" s="2">
        <v>3805</v>
      </c>
    </row>
    <row r="38" spans="97:122" x14ac:dyDescent="0.35">
      <c r="DP38" s="125">
        <v>44197</v>
      </c>
      <c r="DQ38" s="2">
        <v>4743</v>
      </c>
      <c r="DR38" s="2">
        <v>3813</v>
      </c>
    </row>
    <row r="39" spans="97:122" x14ac:dyDescent="0.35">
      <c r="DP39" s="125">
        <v>44198</v>
      </c>
      <c r="DQ39" s="2">
        <v>4751</v>
      </c>
      <c r="DR39" s="2">
        <v>3817</v>
      </c>
    </row>
    <row r="40" spans="97:122" x14ac:dyDescent="0.35">
      <c r="DP40" s="125">
        <v>44199</v>
      </c>
      <c r="DQ40" s="2">
        <v>4822</v>
      </c>
      <c r="DR40" s="2">
        <v>3893</v>
      </c>
    </row>
    <row r="41" spans="97:122" x14ac:dyDescent="0.35">
      <c r="DP41" s="125">
        <v>44200</v>
      </c>
      <c r="DQ41" s="2">
        <v>4848</v>
      </c>
      <c r="DR41" s="2">
        <v>3947</v>
      </c>
    </row>
    <row r="42" spans="97:122" x14ac:dyDescent="0.35">
      <c r="DP42" s="125">
        <v>44201</v>
      </c>
      <c r="DQ42" s="2">
        <v>4947</v>
      </c>
      <c r="DR42" s="2">
        <v>4050</v>
      </c>
    </row>
    <row r="43" spans="97:122" x14ac:dyDescent="0.35">
      <c r="DP43" s="125">
        <v>44202</v>
      </c>
      <c r="DQ43" s="2">
        <v>5035</v>
      </c>
      <c r="DR43" s="2">
        <v>4195</v>
      </c>
    </row>
    <row r="44" spans="97:122" x14ac:dyDescent="0.35">
      <c r="DP44" s="125">
        <v>44203</v>
      </c>
      <c r="DQ44" s="2">
        <v>5148</v>
      </c>
      <c r="DR44" s="2">
        <v>4306</v>
      </c>
    </row>
    <row r="45" spans="97:122" x14ac:dyDescent="0.35">
      <c r="DP45" s="125">
        <v>44204</v>
      </c>
      <c r="DQ45" s="2">
        <v>5242</v>
      </c>
      <c r="DR45" s="2">
        <v>4411</v>
      </c>
    </row>
    <row r="46" spans="97:122" x14ac:dyDescent="0.35">
      <c r="DP46" s="125">
        <v>44205</v>
      </c>
      <c r="DQ46" s="2">
        <v>5358</v>
      </c>
      <c r="DR46" s="2">
        <v>4548</v>
      </c>
    </row>
    <row r="47" spans="97:122" x14ac:dyDescent="0.35">
      <c r="DP47" s="125">
        <v>44206</v>
      </c>
      <c r="DQ47" s="2">
        <v>5364</v>
      </c>
      <c r="DR47" s="2">
        <v>4529</v>
      </c>
    </row>
    <row r="48" spans="97:122" x14ac:dyDescent="0.35">
      <c r="DP48" s="125">
        <v>44207</v>
      </c>
      <c r="DQ48" s="2">
        <v>5439</v>
      </c>
      <c r="DR48" s="2">
        <v>4614</v>
      </c>
    </row>
    <row r="49" spans="120:122" x14ac:dyDescent="0.35">
      <c r="DP49" s="125">
        <v>44208</v>
      </c>
      <c r="DQ49" s="2">
        <v>5548</v>
      </c>
      <c r="DR49" s="2">
        <v>4792</v>
      </c>
    </row>
    <row r="50" spans="120:122" x14ac:dyDescent="0.35">
      <c r="DP50" s="125">
        <v>44209</v>
      </c>
      <c r="DQ50" s="2">
        <v>5609</v>
      </c>
      <c r="DR50" s="2">
        <v>4896</v>
      </c>
    </row>
    <row r="51" spans="120:122" x14ac:dyDescent="0.35">
      <c r="DP51" s="125">
        <v>44210</v>
      </c>
      <c r="DQ51" s="2">
        <v>5680</v>
      </c>
      <c r="DR51" s="2">
        <v>4977</v>
      </c>
    </row>
    <row r="52" spans="120:122" x14ac:dyDescent="0.35">
      <c r="DP52" s="125">
        <v>44211</v>
      </c>
      <c r="DQ52" s="2">
        <v>5769</v>
      </c>
      <c r="DR52" s="2">
        <v>5011</v>
      </c>
    </row>
    <row r="53" spans="120:122" x14ac:dyDescent="0.35">
      <c r="DP53" s="125">
        <v>44212</v>
      </c>
      <c r="DQ53" s="2">
        <v>5846</v>
      </c>
      <c r="DR53" s="2">
        <v>5020</v>
      </c>
    </row>
    <row r="54" spans="120:122" x14ac:dyDescent="0.35">
      <c r="DP54" s="125">
        <v>44213</v>
      </c>
      <c r="DQ54" s="2">
        <v>5846</v>
      </c>
      <c r="DR54" s="2">
        <v>5055</v>
      </c>
    </row>
    <row r="55" spans="120:122" x14ac:dyDescent="0.35">
      <c r="DP55" s="125">
        <v>44214</v>
      </c>
      <c r="DQ55" s="2">
        <v>5926</v>
      </c>
      <c r="DR55" s="2">
        <v>5154</v>
      </c>
    </row>
    <row r="56" spans="120:122" x14ac:dyDescent="0.35">
      <c r="DP56" s="125">
        <v>44215</v>
      </c>
      <c r="DQ56" s="2">
        <v>5976</v>
      </c>
      <c r="DR56" s="2">
        <v>5224</v>
      </c>
    </row>
    <row r="57" spans="120:122" x14ac:dyDescent="0.35">
      <c r="DP57" s="125">
        <v>44216</v>
      </c>
      <c r="DQ57" s="2">
        <v>6022</v>
      </c>
      <c r="DR57" s="2">
        <v>5210</v>
      </c>
    </row>
    <row r="58" spans="120:122" x14ac:dyDescent="0.35">
      <c r="DP58" s="125">
        <v>44217</v>
      </c>
      <c r="DQ58" s="2">
        <v>6075</v>
      </c>
      <c r="DR58" s="2">
        <v>5302</v>
      </c>
    </row>
    <row r="59" spans="120:122" x14ac:dyDescent="0.35">
      <c r="DP59" s="125">
        <v>44218</v>
      </c>
      <c r="DQ59" s="2">
        <v>6146</v>
      </c>
      <c r="DR59" s="2">
        <v>5366</v>
      </c>
    </row>
    <row r="60" spans="120:122" x14ac:dyDescent="0.35">
      <c r="DP60" s="125">
        <v>44219</v>
      </c>
      <c r="DQ60" s="2">
        <v>6136</v>
      </c>
      <c r="DR60" s="2">
        <v>5370</v>
      </c>
    </row>
    <row r="61" spans="120:122" x14ac:dyDescent="0.35">
      <c r="DP61" s="125">
        <v>44220</v>
      </c>
      <c r="DQ61" s="2">
        <v>6121</v>
      </c>
      <c r="DR61" s="2">
        <v>5321</v>
      </c>
    </row>
    <row r="62" spans="120:122" x14ac:dyDescent="0.35">
      <c r="DP62" s="125">
        <v>44221</v>
      </c>
      <c r="DQ62" s="2">
        <v>6152</v>
      </c>
      <c r="DR62" s="2">
        <v>5335</v>
      </c>
    </row>
    <row r="63" spans="120:122" x14ac:dyDescent="0.35">
      <c r="DP63" s="125">
        <v>44222</v>
      </c>
      <c r="DQ63" s="2">
        <v>6227</v>
      </c>
      <c r="DR63" s="2">
        <v>5364</v>
      </c>
    </row>
    <row r="64" spans="120:122" x14ac:dyDescent="0.35">
      <c r="DP64" s="125">
        <v>44223</v>
      </c>
      <c r="DQ64" s="2">
        <v>6153</v>
      </c>
      <c r="DR64" s="2">
        <v>5355</v>
      </c>
    </row>
    <row r="65" spans="120:122" x14ac:dyDescent="0.35">
      <c r="DP65" s="125">
        <v>44224</v>
      </c>
      <c r="DQ65" s="2">
        <v>6141</v>
      </c>
      <c r="DR65" s="2">
        <v>5290</v>
      </c>
    </row>
    <row r="66" spans="120:122" x14ac:dyDescent="0.35">
      <c r="DP66" s="125">
        <v>44225</v>
      </c>
      <c r="DQ66" s="2">
        <v>6146</v>
      </c>
      <c r="DR66" s="2">
        <v>5335</v>
      </c>
    </row>
    <row r="67" spans="120:122" x14ac:dyDescent="0.35">
      <c r="DP67" s="125">
        <v>44226</v>
      </c>
      <c r="DQ67" s="2">
        <v>6126</v>
      </c>
      <c r="DR67" s="2">
        <v>5266</v>
      </c>
    </row>
    <row r="68" spans="120:122" x14ac:dyDescent="0.35">
      <c r="DP68" s="125">
        <v>44227</v>
      </c>
      <c r="DQ68" s="2">
        <v>6124</v>
      </c>
      <c r="DR68" s="2">
        <v>5171</v>
      </c>
    </row>
    <row r="69" spans="120:122" x14ac:dyDescent="0.35">
      <c r="DP69" s="125">
        <v>44228</v>
      </c>
      <c r="DQ69" s="2">
        <v>6141</v>
      </c>
      <c r="DR69" s="2">
        <v>5126</v>
      </c>
    </row>
    <row r="70" spans="120:122" x14ac:dyDescent="0.35">
      <c r="DP70" s="125">
        <v>44229</v>
      </c>
      <c r="DQ70" s="2">
        <v>6136</v>
      </c>
      <c r="DR70" s="2">
        <v>5161</v>
      </c>
    </row>
    <row r="71" spans="120:122" x14ac:dyDescent="0.35">
      <c r="DP71" s="125">
        <v>44230</v>
      </c>
      <c r="DQ71" s="2">
        <v>6092</v>
      </c>
      <c r="DR71" s="2">
        <v>5124</v>
      </c>
    </row>
    <row r="72" spans="120:122" x14ac:dyDescent="0.35">
      <c r="DP72" s="125">
        <v>44231</v>
      </c>
      <c r="DQ72" s="2">
        <v>6078</v>
      </c>
      <c r="DR72" s="2">
        <v>5148</v>
      </c>
    </row>
    <row r="73" spans="120:122" x14ac:dyDescent="0.35">
      <c r="DP73" s="125">
        <v>44232</v>
      </c>
      <c r="DQ73" s="2">
        <v>6069</v>
      </c>
      <c r="DR73" s="2">
        <v>5062</v>
      </c>
    </row>
    <row r="74" spans="120:122" x14ac:dyDescent="0.35">
      <c r="DP74" s="125">
        <v>44233</v>
      </c>
      <c r="DQ74" s="2">
        <v>5888</v>
      </c>
      <c r="DR74" s="2">
        <v>4816</v>
      </c>
    </row>
    <row r="75" spans="120:122" x14ac:dyDescent="0.35">
      <c r="DP75" s="125">
        <v>44234</v>
      </c>
      <c r="DQ75" s="2">
        <v>5959</v>
      </c>
      <c r="DR75" s="2">
        <v>4834</v>
      </c>
    </row>
    <row r="76" spans="120:122" x14ac:dyDescent="0.35">
      <c r="DP76" s="125">
        <v>44235</v>
      </c>
      <c r="DQ76" s="2">
        <v>5919</v>
      </c>
      <c r="DR76" s="2">
        <v>4793</v>
      </c>
    </row>
    <row r="77" spans="120:122" x14ac:dyDescent="0.35">
      <c r="DP77" s="125">
        <v>44236</v>
      </c>
      <c r="DQ77" s="2">
        <v>5850</v>
      </c>
      <c r="DR77" s="2">
        <v>4745</v>
      </c>
    </row>
    <row r="78" spans="120:122" x14ac:dyDescent="0.35">
      <c r="DP78" s="125">
        <v>44237</v>
      </c>
      <c r="DQ78" s="2">
        <v>5873</v>
      </c>
      <c r="DR78" s="2">
        <v>4742</v>
      </c>
    </row>
    <row r="79" spans="120:122" x14ac:dyDescent="0.35">
      <c r="DP79" s="125">
        <v>44238</v>
      </c>
      <c r="DQ79" s="2">
        <v>5839</v>
      </c>
      <c r="DR79" s="2">
        <v>4693</v>
      </c>
    </row>
    <row r="80" spans="120:122" x14ac:dyDescent="0.35">
      <c r="DP80" s="125">
        <v>44239</v>
      </c>
      <c r="DQ80" s="2">
        <v>5831</v>
      </c>
      <c r="DR80" s="2">
        <v>4668</v>
      </c>
    </row>
    <row r="81" spans="120:122" x14ac:dyDescent="0.35">
      <c r="DP81" s="125">
        <v>44240</v>
      </c>
      <c r="DQ81" s="2">
        <v>5786</v>
      </c>
      <c r="DR81" s="2">
        <v>4507</v>
      </c>
    </row>
    <row r="82" spans="120:122" x14ac:dyDescent="0.35">
      <c r="DP82" s="125">
        <v>44241</v>
      </c>
      <c r="DQ82" s="2">
        <v>5762</v>
      </c>
      <c r="DR82" s="2">
        <v>4434</v>
      </c>
    </row>
    <row r="83" spans="120:122" x14ac:dyDescent="0.35">
      <c r="DP83" s="125">
        <v>44242</v>
      </c>
      <c r="DQ83" s="2">
        <v>5739</v>
      </c>
      <c r="DR83" s="2">
        <v>4449</v>
      </c>
    </row>
    <row r="84" spans="120:122" x14ac:dyDescent="0.35">
      <c r="DP84" s="125">
        <v>44243</v>
      </c>
      <c r="DQ84" s="2">
        <v>5686</v>
      </c>
      <c r="DR84" s="2">
        <v>4413</v>
      </c>
    </row>
    <row r="85" spans="120:122" x14ac:dyDescent="0.35">
      <c r="DP85" s="125">
        <v>44244</v>
      </c>
      <c r="DQ85" s="2">
        <v>5641</v>
      </c>
      <c r="DR85" s="2">
        <v>4396</v>
      </c>
    </row>
    <row r="86" spans="120:122" x14ac:dyDescent="0.35">
      <c r="DP86" s="125">
        <v>44245</v>
      </c>
      <c r="DQ86" s="2">
        <v>5605</v>
      </c>
      <c r="DR86" s="2">
        <v>4335</v>
      </c>
    </row>
    <row r="87" spans="120:122" x14ac:dyDescent="0.35">
      <c r="DP87" s="125">
        <v>44246</v>
      </c>
      <c r="DQ87" s="2">
        <v>5563</v>
      </c>
      <c r="DR87" s="2">
        <v>4345</v>
      </c>
    </row>
    <row r="88" spans="120:122" x14ac:dyDescent="0.35">
      <c r="DP88" s="125">
        <v>44247</v>
      </c>
      <c r="DQ88" s="2">
        <v>5521</v>
      </c>
      <c r="DR88" s="2">
        <v>4256</v>
      </c>
    </row>
    <row r="89" spans="120:122" x14ac:dyDescent="0.35">
      <c r="DP89" s="125">
        <v>44248</v>
      </c>
      <c r="DQ89" s="2">
        <v>5451</v>
      </c>
      <c r="DR89" s="2">
        <v>4146</v>
      </c>
    </row>
    <row r="90" spans="120:122" x14ac:dyDescent="0.35">
      <c r="DP90" s="125">
        <v>44249</v>
      </c>
      <c r="DQ90" s="2">
        <v>5420</v>
      </c>
      <c r="DR90" s="2">
        <v>4100</v>
      </c>
    </row>
    <row r="91" spans="120:122" x14ac:dyDescent="0.35">
      <c r="DP91" s="125">
        <v>44250</v>
      </c>
      <c r="DQ91" s="2">
        <v>5359</v>
      </c>
      <c r="DR91" s="2">
        <v>4091</v>
      </c>
    </row>
    <row r="92" spans="120:122" x14ac:dyDescent="0.35">
      <c r="DP92" s="125">
        <v>44251</v>
      </c>
      <c r="DQ92" s="2">
        <v>5310</v>
      </c>
      <c r="DR92" s="2">
        <v>4043</v>
      </c>
    </row>
    <row r="93" spans="120:122" x14ac:dyDescent="0.35">
      <c r="DP93" s="125">
        <v>44252</v>
      </c>
      <c r="DQ93" s="2">
        <v>5309</v>
      </c>
      <c r="DR93" s="2">
        <v>4031</v>
      </c>
    </row>
    <row r="94" spans="120:122" x14ac:dyDescent="0.35">
      <c r="DP94" s="125">
        <v>44253</v>
      </c>
      <c r="DQ94" s="2">
        <v>5312</v>
      </c>
      <c r="DR94" s="2">
        <v>4014</v>
      </c>
    </row>
    <row r="95" spans="120:122" x14ac:dyDescent="0.35">
      <c r="DP95" s="125">
        <v>44254</v>
      </c>
      <c r="DQ95" s="2">
        <v>5280</v>
      </c>
      <c r="DR95" s="2">
        <v>3915</v>
      </c>
    </row>
    <row r="96" spans="120:122" x14ac:dyDescent="0.35">
      <c r="DP96" s="125">
        <v>44255</v>
      </c>
      <c r="DQ96" s="2">
        <v>5178</v>
      </c>
      <c r="DR96" s="2">
        <v>3783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U21"/>
  <sheetViews>
    <sheetView zoomScale="80" zoomScaleNormal="80" workbookViewId="0">
      <selection activeCell="H42" sqref="H42"/>
    </sheetView>
  </sheetViews>
  <sheetFormatPr defaultRowHeight="14.5" x14ac:dyDescent="0.35"/>
  <cols>
    <col min="1" max="1" width="9.08984375" style="48"/>
    <col min="2" max="2" width="13.36328125" style="48" bestFit="1" customWidth="1"/>
    <col min="3" max="3" width="24.08984375" style="48" bestFit="1" customWidth="1"/>
    <col min="4" max="4" width="23.08984375" style="48" bestFit="1" customWidth="1"/>
    <col min="5" max="6" width="9.08984375" style="48"/>
    <col min="8" max="8" width="13.36328125" bestFit="1" customWidth="1"/>
    <col min="9" max="9" width="24.08984375" bestFit="1" customWidth="1"/>
    <col min="10" max="10" width="23.08984375" bestFit="1" customWidth="1"/>
    <col min="11" max="11" width="24.08984375" bestFit="1" customWidth="1"/>
    <col min="12" max="12" width="23.08984375" bestFit="1" customWidth="1"/>
    <col min="13" max="13" width="24.08984375" bestFit="1" customWidth="1"/>
    <col min="14" max="14" width="23.08984375" bestFit="1" customWidth="1"/>
    <col min="15" max="15" width="24.08984375" bestFit="1" customWidth="1"/>
    <col min="16" max="16" width="23.08984375" bestFit="1" customWidth="1"/>
    <col min="17" max="17" width="24.08984375" bestFit="1" customWidth="1"/>
    <col min="18" max="18" width="23.08984375" bestFit="1" customWidth="1"/>
    <col min="19" max="19" width="24.08984375" bestFit="1" customWidth="1"/>
    <col min="20" max="20" width="23.08984375" bestFit="1" customWidth="1"/>
    <col min="21" max="21" width="24.08984375" bestFit="1" customWidth="1"/>
    <col min="22" max="22" width="23.08984375" bestFit="1" customWidth="1"/>
    <col min="23" max="23" width="29" bestFit="1" customWidth="1"/>
    <col min="24" max="24" width="27.90625" bestFit="1" customWidth="1"/>
    <col min="25" max="25" width="28.26953125" customWidth="1"/>
    <col min="39" max="39" width="13.36328125" bestFit="1" customWidth="1"/>
    <col min="40" max="40" width="24.08984375" bestFit="1" customWidth="1"/>
    <col min="41" max="41" width="23.08984375" bestFit="1" customWidth="1"/>
    <col min="46" max="46" width="13.36328125" bestFit="1" customWidth="1"/>
    <col min="47" max="47" width="24.08984375" bestFit="1" customWidth="1"/>
    <col min="48" max="48" width="23.08984375" bestFit="1" customWidth="1"/>
    <col min="49" max="49" width="24.08984375" bestFit="1" customWidth="1"/>
    <col min="50" max="50" width="23.08984375" bestFit="1" customWidth="1"/>
    <col min="51" max="51" width="24.08984375" bestFit="1" customWidth="1"/>
    <col min="52" max="52" width="23.08984375" bestFit="1" customWidth="1"/>
    <col min="53" max="53" width="24.08984375" bestFit="1" customWidth="1"/>
    <col min="54" max="54" width="23.08984375" bestFit="1" customWidth="1"/>
    <col min="55" max="55" width="24.08984375" bestFit="1" customWidth="1"/>
    <col min="56" max="56" width="23.08984375" bestFit="1" customWidth="1"/>
    <col min="57" max="57" width="24.08984375" bestFit="1" customWidth="1"/>
    <col min="58" max="58" width="23.08984375" bestFit="1" customWidth="1"/>
    <col min="59" max="59" width="24.08984375" bestFit="1" customWidth="1"/>
    <col min="60" max="60" width="23.08984375" bestFit="1" customWidth="1"/>
    <col min="61" max="61" width="29" bestFit="1" customWidth="1"/>
    <col min="62" max="62" width="27.90625" bestFit="1" customWidth="1"/>
    <col min="63" max="63" width="28.26953125" customWidth="1"/>
  </cols>
  <sheetData>
    <row r="1" spans="1:73" s="17" customFormat="1" x14ac:dyDescent="0.35">
      <c r="A1" s="37"/>
      <c r="B1" s="43" t="s">
        <v>284</v>
      </c>
      <c r="C1" s="50"/>
      <c r="D1" s="50"/>
      <c r="E1" s="50"/>
      <c r="F1" s="37"/>
      <c r="G1" s="37"/>
      <c r="H1" s="182" t="s">
        <v>285</v>
      </c>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13"/>
      <c r="AJ1" s="113"/>
      <c r="AK1" s="37"/>
      <c r="AM1" s="181" t="s">
        <v>268</v>
      </c>
      <c r="AN1" s="181"/>
      <c r="AO1" s="181"/>
      <c r="AP1" s="181"/>
      <c r="AT1" s="181" t="s">
        <v>270</v>
      </c>
      <c r="AU1" s="181"/>
      <c r="AV1" s="181"/>
      <c r="AW1" s="181"/>
      <c r="AX1" s="181"/>
      <c r="AY1" s="181"/>
      <c r="AZ1" s="181"/>
      <c r="BA1" s="181"/>
      <c r="BB1" s="181"/>
      <c r="BC1" s="181"/>
      <c r="BD1" s="181"/>
      <c r="BE1" s="181"/>
      <c r="BF1" s="181"/>
      <c r="BG1" s="181"/>
      <c r="BH1" s="181"/>
      <c r="BI1" s="181"/>
      <c r="BJ1" s="181"/>
      <c r="BK1" s="181"/>
      <c r="BL1" s="181"/>
      <c r="BM1" s="181"/>
      <c r="BN1" s="181"/>
      <c r="BO1" s="181"/>
    </row>
    <row r="3" spans="1:73" x14ac:dyDescent="0.35">
      <c r="B3" s="18" t="s">
        <v>40</v>
      </c>
      <c r="C3" t="s" vm="1">
        <v>435</v>
      </c>
      <c r="D3"/>
      <c r="H3" s="18" t="s">
        <v>40</v>
      </c>
      <c r="I3" t="s" vm="1">
        <v>435</v>
      </c>
      <c r="AM3" s="18" t="s">
        <v>40</v>
      </c>
      <c r="AN3" t="s" vm="1">
        <v>435</v>
      </c>
      <c r="AT3" s="18" t="s">
        <v>40</v>
      </c>
      <c r="AU3" t="s" vm="1">
        <v>435</v>
      </c>
    </row>
    <row r="4" spans="1:73" x14ac:dyDescent="0.35">
      <c r="B4"/>
      <c r="C4"/>
      <c r="D4"/>
    </row>
    <row r="5" spans="1:73" x14ac:dyDescent="0.35">
      <c r="B5" s="18" t="s">
        <v>38</v>
      </c>
      <c r="C5" t="s">
        <v>185</v>
      </c>
      <c r="D5" t="s">
        <v>186</v>
      </c>
      <c r="I5" s="18" t="s">
        <v>42</v>
      </c>
      <c r="AB5" t="s">
        <v>41</v>
      </c>
      <c r="AC5" t="s">
        <v>1</v>
      </c>
      <c r="AD5" t="s">
        <v>226</v>
      </c>
      <c r="AE5" t="s">
        <v>254</v>
      </c>
      <c r="AF5" t="s">
        <v>223</v>
      </c>
      <c r="AG5" t="s">
        <v>224</v>
      </c>
      <c r="AH5" t="s">
        <v>257</v>
      </c>
      <c r="AI5" t="s">
        <v>256</v>
      </c>
      <c r="AM5" s="18" t="s">
        <v>38</v>
      </c>
      <c r="AN5" t="s">
        <v>185</v>
      </c>
      <c r="AO5" t="s">
        <v>186</v>
      </c>
      <c r="AU5" s="18" t="s">
        <v>42</v>
      </c>
      <c r="BN5" t="s">
        <v>41</v>
      </c>
      <c r="BO5" t="s">
        <v>1</v>
      </c>
      <c r="BP5" t="s">
        <v>226</v>
      </c>
      <c r="BQ5" t="s">
        <v>254</v>
      </c>
      <c r="BR5" t="s">
        <v>223</v>
      </c>
      <c r="BS5" t="s">
        <v>224</v>
      </c>
      <c r="BT5" t="s">
        <v>257</v>
      </c>
      <c r="BU5" t="s">
        <v>256</v>
      </c>
    </row>
    <row r="6" spans="1:73" x14ac:dyDescent="0.35">
      <c r="A6" s="28"/>
      <c r="B6" s="19">
        <v>1</v>
      </c>
      <c r="C6" s="2">
        <v>2146</v>
      </c>
      <c r="D6" s="2">
        <v>1352</v>
      </c>
      <c r="E6" s="28">
        <f>D6/C6</f>
        <v>0.63000931966449203</v>
      </c>
      <c r="F6" s="28"/>
      <c r="G6" s="28"/>
      <c r="I6" t="s">
        <v>291</v>
      </c>
      <c r="K6" t="s">
        <v>1</v>
      </c>
      <c r="M6" t="s">
        <v>226</v>
      </c>
      <c r="O6" t="s">
        <v>258</v>
      </c>
      <c r="Q6" t="s">
        <v>255</v>
      </c>
      <c r="S6" t="s">
        <v>223</v>
      </c>
      <c r="U6" t="s">
        <v>224</v>
      </c>
      <c r="W6" t="s">
        <v>187</v>
      </c>
      <c r="X6" t="s">
        <v>188</v>
      </c>
      <c r="Z6" s="28"/>
      <c r="AA6" s="20" t="s">
        <v>43</v>
      </c>
      <c r="AB6" s="28">
        <f>VLOOKUP($AA6,$H$8:$X$1048576,17,FALSE)/VLOOKUP($AA6,$H$8:$X$1048576,16,FALSE)</f>
        <v>0.63000931966449203</v>
      </c>
      <c r="AC6" s="28">
        <f>VLOOKUP($AA6,$H$8:$X$1048576,5,FALSE)/VLOOKUP($AA6,$H$8:$X$1048576,4,FALSE)</f>
        <v>0.52347826086956517</v>
      </c>
      <c r="AD6" s="28">
        <f>VLOOKUP($AA6,$H$8:$X$1048576,7,FALSE)/VLOOKUP($AA6,$H$8:$X$1048576,6,FALSE)</f>
        <v>0.72643678160919545</v>
      </c>
      <c r="AE6" s="28">
        <f>VLOOKUP($AA6,$H$8:$X$1048576,9,FALSE)/VLOOKUP($AA6,$H$8:$X$1048576,8,FALSE)</f>
        <v>0.58524173027989823</v>
      </c>
      <c r="AF6" s="28">
        <f>VLOOKUP($AA6,$H$8:$X$1048576,13,FALSE)/VLOOKUP($AA6,$H$8:$X$1048576,12,FALSE)</f>
        <v>0.64673913043478259</v>
      </c>
      <c r="AG6" s="28">
        <f>VLOOKUP($AA6,$H$8:$X$1048576,15,FALSE)/VLOOKUP($AA6,$H$8:$X$1048576,14,FALSE)</f>
        <v>0.65873015873015872</v>
      </c>
      <c r="AH6" s="28">
        <f>VLOOKUP($AA6,$H$8:$X$1048576,3,FALSE)/VLOOKUP($AA6,$H$8:$X$1048576,2,FALSE)</f>
        <v>0.26984126984126983</v>
      </c>
      <c r="AI6" s="28">
        <f>VLOOKUP($AA6,$H$8:$X$1048576,11,FALSE)/VLOOKUP($AA6,$H$8:$X$1048576,10,FALSE)</f>
        <v>0.77297297297297296</v>
      </c>
      <c r="AJ6" s="28"/>
      <c r="AK6" s="28"/>
      <c r="AM6" s="19">
        <v>1</v>
      </c>
      <c r="AN6" s="2">
        <v>2146</v>
      </c>
      <c r="AO6" s="2">
        <v>1352</v>
      </c>
      <c r="AP6" s="26">
        <f>(AN6-D6)/4</f>
        <v>198.5</v>
      </c>
      <c r="AQ6" s="51"/>
      <c r="AR6" s="26"/>
      <c r="AU6" t="s">
        <v>291</v>
      </c>
      <c r="AW6" t="s">
        <v>1</v>
      </c>
      <c r="AY6" t="s">
        <v>226</v>
      </c>
      <c r="BA6" t="s">
        <v>258</v>
      </c>
      <c r="BC6" t="s">
        <v>255</v>
      </c>
      <c r="BE6" t="s">
        <v>223</v>
      </c>
      <c r="BG6" t="s">
        <v>224</v>
      </c>
      <c r="BI6" t="s">
        <v>187</v>
      </c>
      <c r="BJ6" t="s">
        <v>188</v>
      </c>
      <c r="BM6" s="52" t="s">
        <v>43</v>
      </c>
      <c r="BN6" s="25">
        <f>(VLOOKUP($BM6,$AT$8:$BJ$1048576,16,FALSE)-VLOOKUP($BM6,$AT$8:$BJ$1048576,17,FALSE))/7</f>
        <v>113.42857142857143</v>
      </c>
      <c r="BO6" s="25">
        <f>(VLOOKUP($BM6,$AT$8:$BJ$1048576,4,FALSE)-VLOOKUP($BM6,$AT$8:$BJ$1048576,5,FALSE))/7</f>
        <v>39.142857142857146</v>
      </c>
      <c r="BP6" s="25">
        <f>(VLOOKUP($BM6,$AT$8:$BJ$1048576,6,FALSE)-VLOOKUP($BM6,$AT$8:$BJ$1048576,7,FALSE))/7</f>
        <v>17</v>
      </c>
      <c r="BQ6" s="25">
        <f>(VLOOKUP($BM6,$AT$8:$BJ$1048576,8,FALSE)-VLOOKUP($BM6,$AT$8:$BJ$1048576,9,FALSE))/7</f>
        <v>23.285714285714285</v>
      </c>
      <c r="BR6" s="25">
        <f>(VLOOKUP($BM6,$AT$8:$BJ$1048576,12,FALSE)-VLOOKUP($BM6,$AT$8:$BJ$1048576,13,FALSE))/7</f>
        <v>9.2857142857142865</v>
      </c>
      <c r="BS6" s="25">
        <f>(VLOOKUP($BM6,$AT$8:$BJ$1048576,14,FALSE)-VLOOKUP($BM6,$AT$8:$BJ$1048576,15,FALSE))/7</f>
        <v>6.1428571428571432</v>
      </c>
      <c r="BT6" s="25">
        <f>(VLOOKUP($BM6,$AT$8:$BJ$1048576,2,FALSE)-VLOOKUP($BM6,$AT$8:$BJ$1048576,3,FALSE))/7</f>
        <v>6.5714285714285712</v>
      </c>
      <c r="BU6" s="25">
        <f>(VLOOKUP($BM6,$AT$8:$BJ$1048576,10,FALSE)-VLOOKUP($BM6,$AT$8:$BJ$1048576,11,FALSE))/7</f>
        <v>12</v>
      </c>
    </row>
    <row r="7" spans="1:73" x14ac:dyDescent="0.35">
      <c r="A7" s="28"/>
      <c r="B7" s="19">
        <v>2</v>
      </c>
      <c r="C7" s="2">
        <v>2227</v>
      </c>
      <c r="D7" s="2">
        <v>1408</v>
      </c>
      <c r="E7" s="28">
        <f>D7/C7</f>
        <v>0.63224068253255505</v>
      </c>
      <c r="F7" s="28"/>
      <c r="G7" s="28"/>
      <c r="H7" s="18" t="s">
        <v>38</v>
      </c>
      <c r="I7" t="s">
        <v>185</v>
      </c>
      <c r="J7" t="s">
        <v>186</v>
      </c>
      <c r="K7" t="s">
        <v>185</v>
      </c>
      <c r="L7" t="s">
        <v>186</v>
      </c>
      <c r="M7" t="s">
        <v>185</v>
      </c>
      <c r="N7" t="s">
        <v>186</v>
      </c>
      <c r="O7" t="s">
        <v>185</v>
      </c>
      <c r="P7" t="s">
        <v>186</v>
      </c>
      <c r="Q7" t="s">
        <v>185</v>
      </c>
      <c r="R7" t="s">
        <v>186</v>
      </c>
      <c r="S7" t="s">
        <v>185</v>
      </c>
      <c r="T7" t="s">
        <v>186</v>
      </c>
      <c r="U7" t="s">
        <v>185</v>
      </c>
      <c r="V7" t="s">
        <v>186</v>
      </c>
      <c r="Z7" s="28"/>
      <c r="AA7" s="20" t="s">
        <v>44</v>
      </c>
      <c r="AB7" s="28">
        <f t="shared" ref="AB7:AB18" si="0">VLOOKUP($AA7,$H$8:$X$1048576,17,FALSE)/VLOOKUP($AA7,$H$8:$X$1048576,16,FALSE)</f>
        <v>0.63224068253255505</v>
      </c>
      <c r="AC7" s="28">
        <f t="shared" ref="AC7:AC18" si="1">VLOOKUP($AA7,$H$8:$X$1048576,5,FALSE)/VLOOKUP($AA7,$H$8:$X$1048576,4,FALSE)</f>
        <v>0.51321928460342148</v>
      </c>
      <c r="AD7" s="28">
        <f t="shared" ref="AD7:AD18" si="2">VLOOKUP($AA7,$H$8:$X$1048576,7,FALSE)/VLOOKUP($AA7,$H$8:$X$1048576,6,FALSE)</f>
        <v>0.69069767441860463</v>
      </c>
      <c r="AE7" s="28">
        <f t="shared" ref="AE7:AE18" si="3">VLOOKUP($AA7,$H$8:$X$1048576,9,FALSE)/VLOOKUP($AA7,$H$8:$X$1048576,8,FALSE)</f>
        <v>0.63636363636363635</v>
      </c>
      <c r="AF7" s="28">
        <f t="shared" ref="AF7:AF18" si="4">VLOOKUP($AA7,$H$8:$X$1048576,13,FALSE)/VLOOKUP($AA7,$H$8:$X$1048576,12,FALSE)</f>
        <v>0.73626373626373631</v>
      </c>
      <c r="AG7" s="28">
        <f t="shared" ref="AG7:AG18" si="5">VLOOKUP($AA7,$H$8:$X$1048576,15,FALSE)/VLOOKUP($AA7,$H$8:$X$1048576,14,FALSE)</f>
        <v>0.56349206349206349</v>
      </c>
      <c r="AH7" s="28">
        <f t="shared" ref="AH7:AH18" si="6">VLOOKUP($AA7,$H$8:$X$1048576,3,FALSE)/VLOOKUP($AA7,$H$8:$X$1048576,2,FALSE)</f>
        <v>0.31746031746031744</v>
      </c>
      <c r="AI7" s="28">
        <f t="shared" ref="AI7:AI17" si="7">VLOOKUP($AA7,$H$8:$X$1048576,11,FALSE)/VLOOKUP($AA7,$H$8:$X$1048576,10,FALSE)</f>
        <v>0.77750611246943768</v>
      </c>
      <c r="AJ7" s="28"/>
      <c r="AK7" s="28"/>
      <c r="AM7" s="19">
        <v>2</v>
      </c>
      <c r="AN7" s="2">
        <v>2227</v>
      </c>
      <c r="AO7" s="2">
        <v>1408</v>
      </c>
      <c r="AP7" s="26">
        <f t="shared" ref="AP7:AP20" si="8">(AN7-D7)/7</f>
        <v>117</v>
      </c>
      <c r="AQ7" s="51"/>
      <c r="AR7" s="26"/>
      <c r="AT7" s="18" t="s">
        <v>38</v>
      </c>
      <c r="AU7" t="s">
        <v>185</v>
      </c>
      <c r="AV7" t="s">
        <v>186</v>
      </c>
      <c r="AW7" t="s">
        <v>185</v>
      </c>
      <c r="AX7" t="s">
        <v>186</v>
      </c>
      <c r="AY7" t="s">
        <v>185</v>
      </c>
      <c r="AZ7" t="s">
        <v>186</v>
      </c>
      <c r="BA7" t="s">
        <v>185</v>
      </c>
      <c r="BB7" t="s">
        <v>186</v>
      </c>
      <c r="BC7" t="s">
        <v>185</v>
      </c>
      <c r="BD7" t="s">
        <v>186</v>
      </c>
      <c r="BE7" t="s">
        <v>185</v>
      </c>
      <c r="BF7" t="s">
        <v>186</v>
      </c>
      <c r="BG7" t="s">
        <v>185</v>
      </c>
      <c r="BH7" t="s">
        <v>186</v>
      </c>
      <c r="BM7" s="52" t="s">
        <v>44</v>
      </c>
      <c r="BN7" s="25">
        <f t="shared" ref="BN7:BN18" si="9">(VLOOKUP($BM7,$AT$8:$BJ$1048576,16,FALSE)-VLOOKUP($BM7,$AT$8:$BJ$1048576,17,FALSE))/7</f>
        <v>117</v>
      </c>
      <c r="BO7" s="25">
        <f t="shared" ref="BO7:BO18" si="10">(VLOOKUP($BM7,$AT$8:$BJ$1048576,4,FALSE)-VLOOKUP($BM7,$AT$8:$BJ$1048576,5,FALSE))/7</f>
        <v>44.714285714285715</v>
      </c>
      <c r="BP7" s="25">
        <f t="shared" ref="BP7:BP18" si="11">(VLOOKUP($BM7,$AT$8:$BJ$1048576,6,FALSE)-VLOOKUP($BM7,$AT$8:$BJ$1048576,7,FALSE))/7</f>
        <v>19</v>
      </c>
      <c r="BQ7" s="25">
        <f t="shared" ref="BQ7:BQ18" si="12">(VLOOKUP($BM7,$AT$8:$BJ$1048576,8,FALSE)-VLOOKUP($BM7,$AT$8:$BJ$1048576,9,FALSE))/7</f>
        <v>19.428571428571427</v>
      </c>
      <c r="BR7" s="25">
        <f t="shared" ref="BR7:BR18" si="13">(VLOOKUP($BM7,$AT$8:$BJ$1048576,12,FALSE)-VLOOKUP($BM7,$AT$8:$BJ$1048576,13,FALSE))/7</f>
        <v>6.8571428571428568</v>
      </c>
      <c r="BS7" s="25">
        <f t="shared" ref="BS7:BS18" si="14">(VLOOKUP($BM7,$AT$8:$BJ$1048576,14,FALSE)-VLOOKUP($BM7,$AT$8:$BJ$1048576,15,FALSE))/7</f>
        <v>7.8571428571428568</v>
      </c>
      <c r="BT7" s="25">
        <f t="shared" ref="BT7:BT18" si="15">(VLOOKUP($BM7,$AT$8:$BJ$1048576,2,FALSE)-VLOOKUP($BM7,$AT$8:$BJ$1048576,3,FALSE))/7</f>
        <v>6.1428571428571432</v>
      </c>
      <c r="BU7" s="25">
        <f t="shared" ref="BU7:BU18" si="16">(VLOOKUP($BM7,$AT$8:$BJ$1048576,10,FALSE)-VLOOKUP($BM7,$AT$8:$BJ$1048576,11,FALSE))/7</f>
        <v>13</v>
      </c>
    </row>
    <row r="8" spans="1:73" x14ac:dyDescent="0.35">
      <c r="A8" s="28"/>
      <c r="B8" s="19">
        <v>3</v>
      </c>
      <c r="C8" s="2">
        <v>2218</v>
      </c>
      <c r="D8" s="2">
        <v>1459</v>
      </c>
      <c r="E8" s="28">
        <f t="shared" ref="E8:E20" si="17">D8/C8</f>
        <v>0.65779981965734902</v>
      </c>
      <c r="F8" s="28"/>
      <c r="G8" s="28"/>
      <c r="H8" s="19" t="s">
        <v>43</v>
      </c>
      <c r="I8" s="2">
        <v>63</v>
      </c>
      <c r="J8" s="2">
        <v>17</v>
      </c>
      <c r="K8" s="2">
        <v>575</v>
      </c>
      <c r="L8" s="2">
        <v>301</v>
      </c>
      <c r="M8" s="2">
        <v>435</v>
      </c>
      <c r="N8" s="2">
        <v>316</v>
      </c>
      <c r="O8" s="2">
        <v>393</v>
      </c>
      <c r="P8" s="2">
        <v>230</v>
      </c>
      <c r="Q8" s="2">
        <v>370</v>
      </c>
      <c r="R8" s="2">
        <v>286</v>
      </c>
      <c r="S8" s="2">
        <v>184</v>
      </c>
      <c r="T8" s="2">
        <v>119</v>
      </c>
      <c r="U8" s="2">
        <v>126</v>
      </c>
      <c r="V8" s="2">
        <v>83</v>
      </c>
      <c r="W8" s="2">
        <v>2146</v>
      </c>
      <c r="X8" s="2">
        <v>1352</v>
      </c>
      <c r="Y8" s="2"/>
      <c r="Z8" s="28"/>
      <c r="AA8" s="20" t="s">
        <v>45</v>
      </c>
      <c r="AB8" s="28">
        <f t="shared" si="0"/>
        <v>0.65779981965734902</v>
      </c>
      <c r="AC8" s="28">
        <f t="shared" si="1"/>
        <v>0.54720000000000002</v>
      </c>
      <c r="AD8" s="28">
        <f t="shared" si="2"/>
        <v>0.78669724770642202</v>
      </c>
      <c r="AE8" s="28">
        <f t="shared" si="3"/>
        <v>0.59259259259259256</v>
      </c>
      <c r="AF8" s="28">
        <f t="shared" si="4"/>
        <v>0.80769230769230771</v>
      </c>
      <c r="AG8" s="28">
        <f t="shared" si="5"/>
        <v>0.55555555555555558</v>
      </c>
      <c r="AH8" s="28">
        <f t="shared" si="6"/>
        <v>0.25396825396825395</v>
      </c>
      <c r="AI8" s="28">
        <f t="shared" si="7"/>
        <v>0.77696078431372551</v>
      </c>
      <c r="AJ8" s="28"/>
      <c r="AK8" s="28"/>
      <c r="AM8" s="19">
        <v>3</v>
      </c>
      <c r="AN8" s="2">
        <v>2218</v>
      </c>
      <c r="AO8" s="2">
        <v>1459</v>
      </c>
      <c r="AP8" s="26">
        <f t="shared" si="8"/>
        <v>108.42857142857143</v>
      </c>
      <c r="AQ8" s="51"/>
      <c r="AR8" s="26"/>
      <c r="AT8" s="19" t="s">
        <v>43</v>
      </c>
      <c r="AU8" s="2">
        <v>63</v>
      </c>
      <c r="AV8" s="2">
        <v>17</v>
      </c>
      <c r="AW8" s="2">
        <v>575</v>
      </c>
      <c r="AX8" s="2">
        <v>301</v>
      </c>
      <c r="AY8" s="2">
        <v>435</v>
      </c>
      <c r="AZ8" s="2">
        <v>316</v>
      </c>
      <c r="BA8" s="2">
        <v>393</v>
      </c>
      <c r="BB8" s="2">
        <v>230</v>
      </c>
      <c r="BC8" s="2">
        <v>370</v>
      </c>
      <c r="BD8" s="2">
        <v>286</v>
      </c>
      <c r="BE8" s="2">
        <v>184</v>
      </c>
      <c r="BF8" s="2">
        <v>119</v>
      </c>
      <c r="BG8" s="2">
        <v>126</v>
      </c>
      <c r="BH8" s="2">
        <v>83</v>
      </c>
      <c r="BI8" s="2">
        <v>2146</v>
      </c>
      <c r="BJ8" s="2">
        <v>1352</v>
      </c>
      <c r="BK8" s="2"/>
      <c r="BM8" s="52" t="s">
        <v>45</v>
      </c>
      <c r="BN8" s="25">
        <f t="shared" si="9"/>
        <v>108.42857142857143</v>
      </c>
      <c r="BO8" s="25">
        <f t="shared" si="10"/>
        <v>40.428571428571431</v>
      </c>
      <c r="BP8" s="25">
        <f t="shared" si="11"/>
        <v>13.285714285714286</v>
      </c>
      <c r="BQ8" s="25">
        <f t="shared" si="12"/>
        <v>22</v>
      </c>
      <c r="BR8" s="25">
        <f t="shared" si="13"/>
        <v>5</v>
      </c>
      <c r="BS8" s="25">
        <f t="shared" si="14"/>
        <v>8</v>
      </c>
      <c r="BT8" s="25">
        <f t="shared" si="15"/>
        <v>6.7142857142857144</v>
      </c>
      <c r="BU8" s="25">
        <f t="shared" si="16"/>
        <v>13</v>
      </c>
    </row>
    <row r="9" spans="1:73" x14ac:dyDescent="0.35">
      <c r="A9" s="28"/>
      <c r="B9" s="19">
        <v>4</v>
      </c>
      <c r="C9" s="2">
        <v>2166</v>
      </c>
      <c r="D9" s="2">
        <v>1387</v>
      </c>
      <c r="E9" s="28">
        <f t="shared" si="17"/>
        <v>0.64035087719298245</v>
      </c>
      <c r="F9" s="28"/>
      <c r="G9" s="28"/>
      <c r="H9" s="19" t="s">
        <v>52</v>
      </c>
      <c r="I9" s="2">
        <v>62</v>
      </c>
      <c r="J9" s="2">
        <v>38</v>
      </c>
      <c r="K9" s="2">
        <v>422</v>
      </c>
      <c r="L9" s="2">
        <v>310</v>
      </c>
      <c r="M9" s="2">
        <v>380</v>
      </c>
      <c r="N9" s="2">
        <v>287</v>
      </c>
      <c r="O9" s="2">
        <v>361</v>
      </c>
      <c r="P9" s="2">
        <v>200</v>
      </c>
      <c r="Q9" s="2">
        <v>357</v>
      </c>
      <c r="R9" s="2">
        <v>277</v>
      </c>
      <c r="S9" s="2">
        <v>168</v>
      </c>
      <c r="T9" s="2">
        <v>115</v>
      </c>
      <c r="U9" s="2">
        <v>126</v>
      </c>
      <c r="V9" s="2">
        <v>61</v>
      </c>
      <c r="W9" s="2">
        <v>1876</v>
      </c>
      <c r="X9" s="2">
        <v>1288</v>
      </c>
      <c r="Y9" s="2"/>
      <c r="Z9" s="28"/>
      <c r="AA9" s="20" t="s">
        <v>46</v>
      </c>
      <c r="AB9" s="28">
        <f t="shared" si="0"/>
        <v>0.64035087719298245</v>
      </c>
      <c r="AC9" s="28">
        <f t="shared" si="1"/>
        <v>0.48922056384742951</v>
      </c>
      <c r="AD9" s="28">
        <f t="shared" si="2"/>
        <v>0.78723404255319152</v>
      </c>
      <c r="AE9" s="28">
        <f t="shared" si="3"/>
        <v>0.65508021390374327</v>
      </c>
      <c r="AF9" s="28">
        <f t="shared" si="4"/>
        <v>0.75</v>
      </c>
      <c r="AG9" s="28">
        <f t="shared" si="5"/>
        <v>0.56349206349206349</v>
      </c>
      <c r="AH9" s="28">
        <f t="shared" si="6"/>
        <v>0.3968253968253968</v>
      </c>
      <c r="AI9" s="28">
        <f t="shared" si="7"/>
        <v>0.71246819338422396</v>
      </c>
      <c r="AJ9" s="28"/>
      <c r="AK9" s="28"/>
      <c r="AM9" s="19">
        <v>4</v>
      </c>
      <c r="AN9" s="2">
        <v>2166</v>
      </c>
      <c r="AO9" s="2">
        <v>1387</v>
      </c>
      <c r="AP9" s="26">
        <f t="shared" si="8"/>
        <v>111.28571428571429</v>
      </c>
      <c r="AQ9" s="51"/>
      <c r="AR9" s="26"/>
      <c r="AT9" s="19" t="s">
        <v>52</v>
      </c>
      <c r="AU9" s="2">
        <v>62</v>
      </c>
      <c r="AV9" s="2">
        <v>38</v>
      </c>
      <c r="AW9" s="2">
        <v>422</v>
      </c>
      <c r="AX9" s="2">
        <v>310</v>
      </c>
      <c r="AY9" s="2">
        <v>380</v>
      </c>
      <c r="AZ9" s="2">
        <v>287</v>
      </c>
      <c r="BA9" s="2">
        <v>361</v>
      </c>
      <c r="BB9" s="2">
        <v>200</v>
      </c>
      <c r="BC9" s="2">
        <v>357</v>
      </c>
      <c r="BD9" s="2">
        <v>277</v>
      </c>
      <c r="BE9" s="2">
        <v>168</v>
      </c>
      <c r="BF9" s="2">
        <v>115</v>
      </c>
      <c r="BG9" s="2">
        <v>126</v>
      </c>
      <c r="BH9" s="2">
        <v>61</v>
      </c>
      <c r="BI9" s="2">
        <v>1876</v>
      </c>
      <c r="BJ9" s="2">
        <v>1288</v>
      </c>
      <c r="BK9" s="2"/>
      <c r="BM9" s="52" t="s">
        <v>46</v>
      </c>
      <c r="BN9" s="25">
        <f t="shared" si="9"/>
        <v>111.28571428571429</v>
      </c>
      <c r="BO9" s="25">
        <f t="shared" si="10"/>
        <v>44</v>
      </c>
      <c r="BP9" s="25">
        <f t="shared" si="11"/>
        <v>12.857142857142858</v>
      </c>
      <c r="BQ9" s="25">
        <f t="shared" si="12"/>
        <v>18.428571428571427</v>
      </c>
      <c r="BR9" s="25">
        <f t="shared" si="13"/>
        <v>6.5714285714285712</v>
      </c>
      <c r="BS9" s="25">
        <f t="shared" si="14"/>
        <v>7.8571428571428568</v>
      </c>
      <c r="BT9" s="25">
        <f t="shared" si="15"/>
        <v>5.4285714285714288</v>
      </c>
      <c r="BU9" s="25">
        <f t="shared" si="16"/>
        <v>16.142857142857142</v>
      </c>
    </row>
    <row r="10" spans="1:73" x14ac:dyDescent="0.35">
      <c r="A10" s="28"/>
      <c r="B10" s="19">
        <v>5</v>
      </c>
      <c r="C10" s="2">
        <v>2121</v>
      </c>
      <c r="D10" s="2">
        <v>1316</v>
      </c>
      <c r="E10" s="28">
        <f t="shared" si="17"/>
        <v>0.62046204620462042</v>
      </c>
      <c r="F10" s="28"/>
      <c r="G10" s="28"/>
      <c r="H10" s="19" t="s">
        <v>53</v>
      </c>
      <c r="I10" s="2">
        <v>63</v>
      </c>
      <c r="J10" s="2">
        <v>19</v>
      </c>
      <c r="K10" s="2">
        <v>419</v>
      </c>
      <c r="L10" s="2">
        <v>311</v>
      </c>
      <c r="M10" s="2">
        <v>383</v>
      </c>
      <c r="N10" s="2">
        <v>276</v>
      </c>
      <c r="O10" s="2">
        <v>355</v>
      </c>
      <c r="P10" s="2">
        <v>233</v>
      </c>
      <c r="Q10" s="2">
        <v>357</v>
      </c>
      <c r="R10" s="2">
        <v>257</v>
      </c>
      <c r="S10" s="2">
        <v>158</v>
      </c>
      <c r="T10" s="2">
        <v>94</v>
      </c>
      <c r="U10" s="2">
        <v>126</v>
      </c>
      <c r="V10" s="2">
        <v>87</v>
      </c>
      <c r="W10" s="2">
        <v>1861</v>
      </c>
      <c r="X10" s="2">
        <v>1277</v>
      </c>
      <c r="Y10" s="2"/>
      <c r="Z10" s="28"/>
      <c r="AA10" s="20" t="s">
        <v>47</v>
      </c>
      <c r="AB10" s="28">
        <f t="shared" si="0"/>
        <v>0.62046204620462042</v>
      </c>
      <c r="AC10" s="28">
        <f t="shared" si="1"/>
        <v>0.57374100719424459</v>
      </c>
      <c r="AD10" s="28">
        <f t="shared" si="2"/>
        <v>0.72663551401869164</v>
      </c>
      <c r="AE10" s="28">
        <f t="shared" si="3"/>
        <v>0.56451612903225812</v>
      </c>
      <c r="AF10" s="28">
        <f t="shared" si="4"/>
        <v>0.53846153846153844</v>
      </c>
      <c r="AG10" s="28">
        <f t="shared" si="5"/>
        <v>0.5714285714285714</v>
      </c>
      <c r="AH10" s="28">
        <f t="shared" si="6"/>
        <v>0.36507936507936506</v>
      </c>
      <c r="AI10" s="28">
        <f t="shared" si="7"/>
        <v>0.71827411167512689</v>
      </c>
      <c r="AJ10" s="28"/>
      <c r="AK10" s="28"/>
      <c r="AM10" s="19">
        <v>5</v>
      </c>
      <c r="AN10" s="2">
        <v>2121</v>
      </c>
      <c r="AO10" s="2">
        <v>1316</v>
      </c>
      <c r="AP10" s="26">
        <f t="shared" si="8"/>
        <v>115</v>
      </c>
      <c r="AQ10" s="51"/>
      <c r="AR10" s="26"/>
      <c r="AT10" s="19" t="s">
        <v>53</v>
      </c>
      <c r="AU10" s="2">
        <v>63</v>
      </c>
      <c r="AV10" s="2">
        <v>19</v>
      </c>
      <c r="AW10" s="2">
        <v>419</v>
      </c>
      <c r="AX10" s="2">
        <v>311</v>
      </c>
      <c r="AY10" s="2">
        <v>383</v>
      </c>
      <c r="AZ10" s="2">
        <v>276</v>
      </c>
      <c r="BA10" s="2">
        <v>355</v>
      </c>
      <c r="BB10" s="2">
        <v>233</v>
      </c>
      <c r="BC10" s="2">
        <v>357</v>
      </c>
      <c r="BD10" s="2">
        <v>257</v>
      </c>
      <c r="BE10" s="2">
        <v>158</v>
      </c>
      <c r="BF10" s="2">
        <v>94</v>
      </c>
      <c r="BG10" s="2">
        <v>126</v>
      </c>
      <c r="BH10" s="2">
        <v>87</v>
      </c>
      <c r="BI10" s="2">
        <v>1861</v>
      </c>
      <c r="BJ10" s="2">
        <v>1277</v>
      </c>
      <c r="BK10" s="2"/>
      <c r="BM10" s="20" t="s">
        <v>47</v>
      </c>
      <c r="BN10" s="25">
        <f t="shared" si="9"/>
        <v>115</v>
      </c>
      <c r="BO10" s="25">
        <f t="shared" si="10"/>
        <v>33.857142857142854</v>
      </c>
      <c r="BP10" s="25">
        <f t="shared" si="11"/>
        <v>16.714285714285715</v>
      </c>
      <c r="BQ10" s="25">
        <f t="shared" si="12"/>
        <v>23.142857142857142</v>
      </c>
      <c r="BR10" s="25">
        <f t="shared" si="13"/>
        <v>12</v>
      </c>
      <c r="BS10" s="25">
        <f t="shared" si="14"/>
        <v>7.7142857142857144</v>
      </c>
      <c r="BT10" s="25">
        <f t="shared" si="15"/>
        <v>5.7142857142857144</v>
      </c>
      <c r="BU10" s="25">
        <f t="shared" si="16"/>
        <v>15.857142857142858</v>
      </c>
    </row>
    <row r="11" spans="1:73" x14ac:dyDescent="0.35">
      <c r="A11" s="28"/>
      <c r="B11" s="19">
        <v>6</v>
      </c>
      <c r="C11" s="2">
        <v>2061</v>
      </c>
      <c r="D11" s="2">
        <v>1299</v>
      </c>
      <c r="E11" s="28">
        <f t="shared" si="17"/>
        <v>0.63027656477438132</v>
      </c>
      <c r="F11" s="28"/>
      <c r="G11" s="28"/>
      <c r="H11" s="19" t="s">
        <v>54</v>
      </c>
      <c r="I11" s="2">
        <v>63</v>
      </c>
      <c r="J11" s="2">
        <v>11</v>
      </c>
      <c r="K11" s="2">
        <v>450</v>
      </c>
      <c r="L11" s="2">
        <v>301</v>
      </c>
      <c r="M11" s="2">
        <v>374</v>
      </c>
      <c r="N11" s="2">
        <v>279</v>
      </c>
      <c r="O11" s="2">
        <v>369</v>
      </c>
      <c r="P11" s="2">
        <v>247</v>
      </c>
      <c r="Q11" s="2">
        <v>371</v>
      </c>
      <c r="R11" s="2">
        <v>251</v>
      </c>
      <c r="S11" s="2">
        <v>155</v>
      </c>
      <c r="T11" s="2">
        <v>101</v>
      </c>
      <c r="U11" s="2">
        <v>126</v>
      </c>
      <c r="V11" s="2">
        <v>109</v>
      </c>
      <c r="W11" s="2">
        <v>1908</v>
      </c>
      <c r="X11" s="2">
        <v>1299</v>
      </c>
      <c r="Y11" s="2"/>
      <c r="Z11" s="28"/>
      <c r="AA11" s="20" t="s">
        <v>48</v>
      </c>
      <c r="AB11" s="28">
        <f t="shared" si="0"/>
        <v>0.63027656477438132</v>
      </c>
      <c r="AC11" s="28">
        <f t="shared" si="1"/>
        <v>0.67272727272727273</v>
      </c>
      <c r="AD11" s="28">
        <f t="shared" si="2"/>
        <v>0.74109263657957247</v>
      </c>
      <c r="AE11" s="28">
        <f t="shared" si="3"/>
        <v>0.4943820224719101</v>
      </c>
      <c r="AF11" s="28">
        <f t="shared" si="4"/>
        <v>0.52197802197802201</v>
      </c>
      <c r="AG11" s="28">
        <f t="shared" si="5"/>
        <v>0.67460317460317465</v>
      </c>
      <c r="AH11" s="28">
        <f t="shared" si="6"/>
        <v>0.29508196721311475</v>
      </c>
      <c r="AI11" s="28">
        <f t="shared" si="7"/>
        <v>0.66666666666666663</v>
      </c>
      <c r="AJ11" s="28"/>
      <c r="AK11" s="28"/>
      <c r="AM11" s="19">
        <v>6</v>
      </c>
      <c r="AN11" s="2">
        <v>2061</v>
      </c>
      <c r="AO11" s="2">
        <v>1299</v>
      </c>
      <c r="AP11" s="26">
        <f t="shared" si="8"/>
        <v>108.85714285714286</v>
      </c>
      <c r="AQ11" s="51"/>
      <c r="AR11" s="26"/>
      <c r="AT11" s="19" t="s">
        <v>54</v>
      </c>
      <c r="AU11" s="2">
        <v>63</v>
      </c>
      <c r="AV11" s="2">
        <v>11</v>
      </c>
      <c r="AW11" s="2">
        <v>450</v>
      </c>
      <c r="AX11" s="2">
        <v>301</v>
      </c>
      <c r="AY11" s="2">
        <v>374</v>
      </c>
      <c r="AZ11" s="2">
        <v>279</v>
      </c>
      <c r="BA11" s="2">
        <v>369</v>
      </c>
      <c r="BB11" s="2">
        <v>247</v>
      </c>
      <c r="BC11" s="2">
        <v>371</v>
      </c>
      <c r="BD11" s="2">
        <v>251</v>
      </c>
      <c r="BE11" s="2">
        <v>155</v>
      </c>
      <c r="BF11" s="2">
        <v>101</v>
      </c>
      <c r="BG11" s="2">
        <v>126</v>
      </c>
      <c r="BH11" s="2">
        <v>109</v>
      </c>
      <c r="BI11" s="2">
        <v>1908</v>
      </c>
      <c r="BJ11" s="2">
        <v>1299</v>
      </c>
      <c r="BK11" s="2"/>
      <c r="BM11" s="20" t="s">
        <v>48</v>
      </c>
      <c r="BN11" s="25">
        <f t="shared" si="9"/>
        <v>108.85714285714286</v>
      </c>
      <c r="BO11" s="25">
        <f t="shared" si="10"/>
        <v>23.142857142857142</v>
      </c>
      <c r="BP11" s="25">
        <f t="shared" si="11"/>
        <v>15.571428571428571</v>
      </c>
      <c r="BQ11" s="25">
        <f t="shared" si="12"/>
        <v>25.714285714285715</v>
      </c>
      <c r="BR11" s="25">
        <f t="shared" si="13"/>
        <v>12.428571428571429</v>
      </c>
      <c r="BS11" s="25">
        <f t="shared" si="14"/>
        <v>5.8571428571428568</v>
      </c>
      <c r="BT11" s="25">
        <f t="shared" si="15"/>
        <v>6.1428571428571432</v>
      </c>
      <c r="BU11" s="25">
        <f t="shared" si="16"/>
        <v>20</v>
      </c>
    </row>
    <row r="12" spans="1:73" x14ac:dyDescent="0.35">
      <c r="A12" s="28"/>
      <c r="B12" s="19">
        <v>7</v>
      </c>
      <c r="C12" s="2">
        <v>1994</v>
      </c>
      <c r="D12" s="2">
        <v>1336</v>
      </c>
      <c r="E12" s="28">
        <f t="shared" si="17"/>
        <v>0.67001003009027083</v>
      </c>
      <c r="F12" s="28"/>
      <c r="G12" s="28"/>
      <c r="H12" s="19" t="s">
        <v>55</v>
      </c>
      <c r="I12" s="2">
        <v>63</v>
      </c>
      <c r="J12" s="2">
        <v>32</v>
      </c>
      <c r="K12" s="2">
        <v>499</v>
      </c>
      <c r="L12" s="2">
        <v>350</v>
      </c>
      <c r="M12" s="2">
        <v>377</v>
      </c>
      <c r="N12" s="2">
        <v>303</v>
      </c>
      <c r="O12" s="2">
        <v>359</v>
      </c>
      <c r="P12" s="2">
        <v>214</v>
      </c>
      <c r="Q12" s="2">
        <v>375</v>
      </c>
      <c r="R12" s="2">
        <v>279</v>
      </c>
      <c r="S12" s="2">
        <v>166</v>
      </c>
      <c r="T12" s="2">
        <v>118</v>
      </c>
      <c r="U12" s="2">
        <v>126</v>
      </c>
      <c r="V12" s="2">
        <v>109</v>
      </c>
      <c r="W12" s="2">
        <v>1965</v>
      </c>
      <c r="X12" s="2">
        <v>1405</v>
      </c>
      <c r="Y12" s="2"/>
      <c r="Z12" s="28"/>
      <c r="AA12" s="20" t="s">
        <v>49</v>
      </c>
      <c r="AB12" s="28">
        <f t="shared" si="0"/>
        <v>0.67001003009027083</v>
      </c>
      <c r="AC12" s="28">
        <f t="shared" si="1"/>
        <v>0.65540540540540537</v>
      </c>
      <c r="AD12" s="28">
        <f t="shared" si="2"/>
        <v>0.70873786407766992</v>
      </c>
      <c r="AE12" s="28">
        <f t="shared" si="3"/>
        <v>0.59452054794520548</v>
      </c>
      <c r="AF12" s="28">
        <f t="shared" si="4"/>
        <v>0.61956521739130432</v>
      </c>
      <c r="AG12" s="28">
        <f t="shared" si="5"/>
        <v>0.74603174603174605</v>
      </c>
      <c r="AH12" s="28">
        <f t="shared" si="6"/>
        <v>0.30645161290322581</v>
      </c>
      <c r="AI12" s="28">
        <f t="shared" si="7"/>
        <v>0.770573566084788</v>
      </c>
      <c r="AJ12" s="28"/>
      <c r="AK12" s="28"/>
      <c r="AM12" s="19">
        <v>7</v>
      </c>
      <c r="AN12" s="2">
        <v>1994</v>
      </c>
      <c r="AO12" s="2">
        <v>1336</v>
      </c>
      <c r="AP12" s="26">
        <f t="shared" si="8"/>
        <v>94</v>
      </c>
      <c r="AQ12" s="51"/>
      <c r="AR12" s="26"/>
      <c r="AT12" s="19" t="s">
        <v>55</v>
      </c>
      <c r="AU12" s="2">
        <v>63</v>
      </c>
      <c r="AV12" s="2">
        <v>32</v>
      </c>
      <c r="AW12" s="2">
        <v>499</v>
      </c>
      <c r="AX12" s="2">
        <v>350</v>
      </c>
      <c r="AY12" s="2">
        <v>377</v>
      </c>
      <c r="AZ12" s="2">
        <v>303</v>
      </c>
      <c r="BA12" s="2">
        <v>359</v>
      </c>
      <c r="BB12" s="2">
        <v>214</v>
      </c>
      <c r="BC12" s="2">
        <v>375</v>
      </c>
      <c r="BD12" s="2">
        <v>279</v>
      </c>
      <c r="BE12" s="2">
        <v>166</v>
      </c>
      <c r="BF12" s="2">
        <v>118</v>
      </c>
      <c r="BG12" s="2">
        <v>126</v>
      </c>
      <c r="BH12" s="2">
        <v>109</v>
      </c>
      <c r="BI12" s="2">
        <v>1965</v>
      </c>
      <c r="BJ12" s="2">
        <v>1405</v>
      </c>
      <c r="BK12" s="2"/>
      <c r="BM12" s="20" t="s">
        <v>49</v>
      </c>
      <c r="BN12" s="25">
        <f t="shared" si="9"/>
        <v>94</v>
      </c>
      <c r="BO12" s="25">
        <f t="shared" si="10"/>
        <v>21.857142857142858</v>
      </c>
      <c r="BP12" s="25">
        <f t="shared" si="11"/>
        <v>17.142857142857142</v>
      </c>
      <c r="BQ12" s="25">
        <f t="shared" si="12"/>
        <v>21.142857142857142</v>
      </c>
      <c r="BR12" s="25">
        <f t="shared" si="13"/>
        <v>10</v>
      </c>
      <c r="BS12" s="25">
        <f t="shared" si="14"/>
        <v>4.5714285714285712</v>
      </c>
      <c r="BT12" s="25">
        <f t="shared" si="15"/>
        <v>6.1428571428571432</v>
      </c>
      <c r="BU12" s="25">
        <f t="shared" si="16"/>
        <v>13.142857142857142</v>
      </c>
    </row>
    <row r="13" spans="1:73" x14ac:dyDescent="0.35">
      <c r="A13" s="28"/>
      <c r="B13" s="19">
        <v>8</v>
      </c>
      <c r="C13" s="2">
        <v>1916</v>
      </c>
      <c r="D13" s="2">
        <v>1358</v>
      </c>
      <c r="E13" s="28">
        <f t="shared" si="17"/>
        <v>0.70876826722338204</v>
      </c>
      <c r="F13" s="28"/>
      <c r="G13" s="28"/>
      <c r="H13" s="19" t="s">
        <v>44</v>
      </c>
      <c r="I13" s="2">
        <v>63</v>
      </c>
      <c r="J13" s="2">
        <v>20</v>
      </c>
      <c r="K13" s="2">
        <v>643</v>
      </c>
      <c r="L13" s="2">
        <v>330</v>
      </c>
      <c r="M13" s="2">
        <v>430</v>
      </c>
      <c r="N13" s="2">
        <v>297</v>
      </c>
      <c r="O13" s="2">
        <v>374</v>
      </c>
      <c r="P13" s="2">
        <v>238</v>
      </c>
      <c r="Q13" s="2">
        <v>409</v>
      </c>
      <c r="R13" s="2">
        <v>318</v>
      </c>
      <c r="S13" s="2">
        <v>182</v>
      </c>
      <c r="T13" s="2">
        <v>134</v>
      </c>
      <c r="U13" s="2">
        <v>126</v>
      </c>
      <c r="V13" s="2">
        <v>71</v>
      </c>
      <c r="W13" s="2">
        <v>2227</v>
      </c>
      <c r="X13" s="2">
        <v>1408</v>
      </c>
      <c r="Y13" s="2"/>
      <c r="Z13" s="28"/>
      <c r="AA13" s="20" t="s">
        <v>50</v>
      </c>
      <c r="AB13" s="28">
        <f t="shared" si="0"/>
        <v>0.70876826722338204</v>
      </c>
      <c r="AC13" s="28">
        <f t="shared" si="1"/>
        <v>0.669047619047619</v>
      </c>
      <c r="AD13" s="28">
        <f t="shared" si="2"/>
        <v>0.80901856763925728</v>
      </c>
      <c r="AE13" s="28">
        <f t="shared" si="3"/>
        <v>0.67493112947658407</v>
      </c>
      <c r="AF13" s="28">
        <f t="shared" si="4"/>
        <v>0.7696629213483146</v>
      </c>
      <c r="AG13" s="28">
        <f t="shared" si="5"/>
        <v>0.60317460317460314</v>
      </c>
      <c r="AH13" s="28">
        <f t="shared" si="6"/>
        <v>0.27536231884057971</v>
      </c>
      <c r="AI13" s="28">
        <f t="shared" si="7"/>
        <v>0.77023498694516968</v>
      </c>
      <c r="AJ13" s="28"/>
      <c r="AK13" s="28"/>
      <c r="AM13" s="19">
        <v>8</v>
      </c>
      <c r="AN13" s="2">
        <v>1916</v>
      </c>
      <c r="AO13" s="2">
        <v>1358</v>
      </c>
      <c r="AP13" s="26">
        <f t="shared" si="8"/>
        <v>79.714285714285708</v>
      </c>
      <c r="AQ13" s="51"/>
      <c r="AR13" s="26"/>
      <c r="AT13" s="19" t="s">
        <v>44</v>
      </c>
      <c r="AU13" s="2">
        <v>63</v>
      </c>
      <c r="AV13" s="2">
        <v>20</v>
      </c>
      <c r="AW13" s="2">
        <v>643</v>
      </c>
      <c r="AX13" s="2">
        <v>330</v>
      </c>
      <c r="AY13" s="2">
        <v>430</v>
      </c>
      <c r="AZ13" s="2">
        <v>297</v>
      </c>
      <c r="BA13" s="2">
        <v>374</v>
      </c>
      <c r="BB13" s="2">
        <v>238</v>
      </c>
      <c r="BC13" s="2">
        <v>409</v>
      </c>
      <c r="BD13" s="2">
        <v>318</v>
      </c>
      <c r="BE13" s="2">
        <v>182</v>
      </c>
      <c r="BF13" s="2">
        <v>134</v>
      </c>
      <c r="BG13" s="2">
        <v>126</v>
      </c>
      <c r="BH13" s="2">
        <v>71</v>
      </c>
      <c r="BI13" s="2">
        <v>2227</v>
      </c>
      <c r="BJ13" s="2">
        <v>1408</v>
      </c>
      <c r="BK13" s="2"/>
      <c r="BM13" s="20" t="s">
        <v>50</v>
      </c>
      <c r="BN13" s="25">
        <f t="shared" si="9"/>
        <v>79.714285714285708</v>
      </c>
      <c r="BO13" s="25">
        <f t="shared" si="10"/>
        <v>19.857142857142858</v>
      </c>
      <c r="BP13" s="25">
        <f t="shared" si="11"/>
        <v>10.285714285714286</v>
      </c>
      <c r="BQ13" s="25">
        <f t="shared" si="12"/>
        <v>16.857142857142858</v>
      </c>
      <c r="BR13" s="25">
        <f t="shared" si="13"/>
        <v>5.8571428571428568</v>
      </c>
      <c r="BS13" s="25">
        <f t="shared" si="14"/>
        <v>7.1428571428571432</v>
      </c>
      <c r="BT13" s="25">
        <f t="shared" si="15"/>
        <v>7.1428571428571432</v>
      </c>
      <c r="BU13" s="25">
        <f t="shared" si="16"/>
        <v>12.571428571428571</v>
      </c>
    </row>
    <row r="14" spans="1:73" x14ac:dyDescent="0.35">
      <c r="A14" s="28"/>
      <c r="B14" s="19">
        <v>9</v>
      </c>
      <c r="C14" s="2">
        <v>1855</v>
      </c>
      <c r="D14" s="2">
        <v>1331</v>
      </c>
      <c r="E14" s="28">
        <f t="shared" si="17"/>
        <v>0.71752021563342316</v>
      </c>
      <c r="F14" s="28"/>
      <c r="G14" s="28"/>
      <c r="H14" s="19" t="s">
        <v>45</v>
      </c>
      <c r="I14" s="2">
        <v>63</v>
      </c>
      <c r="J14" s="2">
        <v>16</v>
      </c>
      <c r="K14" s="2">
        <v>625</v>
      </c>
      <c r="L14" s="2">
        <v>342</v>
      </c>
      <c r="M14" s="2">
        <v>436</v>
      </c>
      <c r="N14" s="2">
        <v>343</v>
      </c>
      <c r="O14" s="2">
        <v>378</v>
      </c>
      <c r="P14" s="2">
        <v>224</v>
      </c>
      <c r="Q14" s="2">
        <v>408</v>
      </c>
      <c r="R14" s="2">
        <v>317</v>
      </c>
      <c r="S14" s="2">
        <v>182</v>
      </c>
      <c r="T14" s="2">
        <v>147</v>
      </c>
      <c r="U14" s="2">
        <v>126</v>
      </c>
      <c r="V14" s="2">
        <v>70</v>
      </c>
      <c r="W14" s="2">
        <v>2218</v>
      </c>
      <c r="X14" s="2">
        <v>1459</v>
      </c>
      <c r="Y14" s="2"/>
      <c r="Z14" s="28"/>
      <c r="AA14" s="20" t="s">
        <v>51</v>
      </c>
      <c r="AB14" s="28">
        <f t="shared" si="0"/>
        <v>0.71752021563342316</v>
      </c>
      <c r="AC14" s="28">
        <f t="shared" si="1"/>
        <v>0.720873786407767</v>
      </c>
      <c r="AD14" s="28">
        <f t="shared" si="2"/>
        <v>0.80738786279683372</v>
      </c>
      <c r="AE14" s="28">
        <f t="shared" si="3"/>
        <v>0.65536723163841804</v>
      </c>
      <c r="AF14" s="28">
        <f t="shared" si="4"/>
        <v>0.70238095238095233</v>
      </c>
      <c r="AG14" s="28">
        <f t="shared" si="5"/>
        <v>0.53174603174603174</v>
      </c>
      <c r="AH14" s="28">
        <f t="shared" si="6"/>
        <v>0.46031746031746029</v>
      </c>
      <c r="AI14" s="28">
        <f t="shared" si="7"/>
        <v>0.79886685552407932</v>
      </c>
      <c r="AJ14" s="28"/>
      <c r="AK14" s="28"/>
      <c r="AM14" s="19">
        <v>9</v>
      </c>
      <c r="AN14" s="2">
        <v>1855</v>
      </c>
      <c r="AO14" s="2">
        <v>1331</v>
      </c>
      <c r="AP14" s="26">
        <f t="shared" si="8"/>
        <v>74.857142857142861</v>
      </c>
      <c r="AQ14" s="51"/>
      <c r="AR14" s="26"/>
      <c r="AT14" s="19" t="s">
        <v>45</v>
      </c>
      <c r="AU14" s="2">
        <v>63</v>
      </c>
      <c r="AV14" s="2">
        <v>16</v>
      </c>
      <c r="AW14" s="2">
        <v>625</v>
      </c>
      <c r="AX14" s="2">
        <v>342</v>
      </c>
      <c r="AY14" s="2">
        <v>436</v>
      </c>
      <c r="AZ14" s="2">
        <v>343</v>
      </c>
      <c r="BA14" s="2">
        <v>378</v>
      </c>
      <c r="BB14" s="2">
        <v>224</v>
      </c>
      <c r="BC14" s="2">
        <v>408</v>
      </c>
      <c r="BD14" s="2">
        <v>317</v>
      </c>
      <c r="BE14" s="2">
        <v>182</v>
      </c>
      <c r="BF14" s="2">
        <v>147</v>
      </c>
      <c r="BG14" s="2">
        <v>126</v>
      </c>
      <c r="BH14" s="2">
        <v>70</v>
      </c>
      <c r="BI14" s="2">
        <v>2218</v>
      </c>
      <c r="BJ14" s="2">
        <v>1459</v>
      </c>
      <c r="BK14" s="2"/>
      <c r="BM14" s="20" t="s">
        <v>51</v>
      </c>
      <c r="BN14" s="25">
        <f t="shared" si="9"/>
        <v>74.857142857142861</v>
      </c>
      <c r="BO14" s="25">
        <f t="shared" si="10"/>
        <v>16.428571428571427</v>
      </c>
      <c r="BP14" s="25">
        <f t="shared" si="11"/>
        <v>10.428571428571429</v>
      </c>
      <c r="BQ14" s="25">
        <f t="shared" si="12"/>
        <v>17.428571428571427</v>
      </c>
      <c r="BR14" s="25">
        <f t="shared" si="13"/>
        <v>7.1428571428571432</v>
      </c>
      <c r="BS14" s="25">
        <f t="shared" si="14"/>
        <v>8.4285714285714288</v>
      </c>
      <c r="BT14" s="25">
        <f t="shared" si="15"/>
        <v>4.8571428571428568</v>
      </c>
      <c r="BU14" s="25">
        <f t="shared" si="16"/>
        <v>10.142857142857142</v>
      </c>
    </row>
    <row r="15" spans="1:73" x14ac:dyDescent="0.35">
      <c r="A15" s="28"/>
      <c r="B15" s="19">
        <v>10</v>
      </c>
      <c r="C15" s="2">
        <v>1876</v>
      </c>
      <c r="D15" s="2">
        <v>1288</v>
      </c>
      <c r="E15" s="28">
        <f t="shared" si="17"/>
        <v>0.68656716417910446</v>
      </c>
      <c r="F15" s="28"/>
      <c r="G15" s="28"/>
      <c r="H15" s="19" t="s">
        <v>46</v>
      </c>
      <c r="I15" s="2">
        <v>63</v>
      </c>
      <c r="J15" s="2">
        <v>25</v>
      </c>
      <c r="K15" s="2">
        <v>603</v>
      </c>
      <c r="L15" s="2">
        <v>295</v>
      </c>
      <c r="M15" s="2">
        <v>423</v>
      </c>
      <c r="N15" s="2">
        <v>333</v>
      </c>
      <c r="O15" s="2">
        <v>374</v>
      </c>
      <c r="P15" s="2">
        <v>245</v>
      </c>
      <c r="Q15" s="2">
        <v>393</v>
      </c>
      <c r="R15" s="2">
        <v>280</v>
      </c>
      <c r="S15" s="2">
        <v>184</v>
      </c>
      <c r="T15" s="2">
        <v>138</v>
      </c>
      <c r="U15" s="2">
        <v>126</v>
      </c>
      <c r="V15" s="2">
        <v>71</v>
      </c>
      <c r="W15" s="2">
        <v>2166</v>
      </c>
      <c r="X15" s="2">
        <v>1387</v>
      </c>
      <c r="Y15" s="2"/>
      <c r="Z15" s="28"/>
      <c r="AA15" s="20" t="s">
        <v>52</v>
      </c>
      <c r="AB15" s="28">
        <f t="shared" si="0"/>
        <v>0.68656716417910446</v>
      </c>
      <c r="AC15" s="28">
        <f t="shared" si="1"/>
        <v>0.7345971563981043</v>
      </c>
      <c r="AD15" s="28">
        <f t="shared" si="2"/>
        <v>0.75526315789473686</v>
      </c>
      <c r="AE15" s="28">
        <f t="shared" si="3"/>
        <v>0.554016620498615</v>
      </c>
      <c r="AF15" s="28">
        <f t="shared" si="4"/>
        <v>0.68452380952380953</v>
      </c>
      <c r="AG15" s="28">
        <f t="shared" si="5"/>
        <v>0.48412698412698413</v>
      </c>
      <c r="AH15" s="28">
        <f t="shared" si="6"/>
        <v>0.61290322580645162</v>
      </c>
      <c r="AI15" s="28">
        <f t="shared" si="7"/>
        <v>0.77591036414565828</v>
      </c>
      <c r="AJ15" s="28"/>
      <c r="AK15" s="28"/>
      <c r="AM15" s="19">
        <v>10</v>
      </c>
      <c r="AN15" s="2">
        <v>1876</v>
      </c>
      <c r="AO15" s="2">
        <v>1288</v>
      </c>
      <c r="AP15" s="26">
        <f t="shared" si="8"/>
        <v>84</v>
      </c>
      <c r="AQ15" s="51"/>
      <c r="AR15" s="26"/>
      <c r="AT15" s="19" t="s">
        <v>46</v>
      </c>
      <c r="AU15" s="2">
        <v>63</v>
      </c>
      <c r="AV15" s="2">
        <v>25</v>
      </c>
      <c r="AW15" s="2">
        <v>603</v>
      </c>
      <c r="AX15" s="2">
        <v>295</v>
      </c>
      <c r="AY15" s="2">
        <v>423</v>
      </c>
      <c r="AZ15" s="2">
        <v>333</v>
      </c>
      <c r="BA15" s="2">
        <v>374</v>
      </c>
      <c r="BB15" s="2">
        <v>245</v>
      </c>
      <c r="BC15" s="2">
        <v>393</v>
      </c>
      <c r="BD15" s="2">
        <v>280</v>
      </c>
      <c r="BE15" s="2">
        <v>184</v>
      </c>
      <c r="BF15" s="2">
        <v>138</v>
      </c>
      <c r="BG15" s="2">
        <v>126</v>
      </c>
      <c r="BH15" s="2">
        <v>71</v>
      </c>
      <c r="BI15" s="2">
        <v>2166</v>
      </c>
      <c r="BJ15" s="2">
        <v>1387</v>
      </c>
      <c r="BK15" s="2"/>
      <c r="BM15" s="20" t="s">
        <v>52</v>
      </c>
      <c r="BN15" s="25">
        <f t="shared" si="9"/>
        <v>84</v>
      </c>
      <c r="BO15" s="25">
        <f t="shared" si="10"/>
        <v>16</v>
      </c>
      <c r="BP15" s="25">
        <f t="shared" si="11"/>
        <v>13.285714285714286</v>
      </c>
      <c r="BQ15" s="25">
        <f t="shared" si="12"/>
        <v>23</v>
      </c>
      <c r="BR15" s="25">
        <f t="shared" si="13"/>
        <v>7.5714285714285712</v>
      </c>
      <c r="BS15" s="25">
        <f t="shared" si="14"/>
        <v>9.2857142857142865</v>
      </c>
      <c r="BT15" s="25">
        <f t="shared" si="15"/>
        <v>3.4285714285714284</v>
      </c>
      <c r="BU15" s="25">
        <f t="shared" si="16"/>
        <v>11.428571428571429</v>
      </c>
    </row>
    <row r="16" spans="1:73" x14ac:dyDescent="0.35">
      <c r="A16" s="28"/>
      <c r="B16" s="19">
        <v>11</v>
      </c>
      <c r="C16" s="2">
        <v>1861</v>
      </c>
      <c r="D16" s="2">
        <v>1277</v>
      </c>
      <c r="E16" s="28">
        <f t="shared" si="17"/>
        <v>0.68619022031166044</v>
      </c>
      <c r="F16" s="28"/>
      <c r="G16" s="28"/>
      <c r="H16" s="19" t="s">
        <v>47</v>
      </c>
      <c r="I16" s="2">
        <v>63</v>
      </c>
      <c r="J16" s="2">
        <v>23</v>
      </c>
      <c r="K16" s="2">
        <v>556</v>
      </c>
      <c r="L16" s="2">
        <v>319</v>
      </c>
      <c r="M16" s="2">
        <v>428</v>
      </c>
      <c r="N16" s="2">
        <v>311</v>
      </c>
      <c r="O16" s="2">
        <v>372</v>
      </c>
      <c r="P16" s="2">
        <v>210</v>
      </c>
      <c r="Q16" s="2">
        <v>394</v>
      </c>
      <c r="R16" s="2">
        <v>283</v>
      </c>
      <c r="S16" s="2">
        <v>182</v>
      </c>
      <c r="T16" s="2">
        <v>98</v>
      </c>
      <c r="U16" s="2">
        <v>126</v>
      </c>
      <c r="V16" s="2">
        <v>72</v>
      </c>
      <c r="W16" s="2">
        <v>2121</v>
      </c>
      <c r="X16" s="2">
        <v>1316</v>
      </c>
      <c r="Y16" s="2"/>
      <c r="Z16" s="28"/>
      <c r="AA16" s="20" t="s">
        <v>53</v>
      </c>
      <c r="AB16" s="28">
        <f t="shared" si="0"/>
        <v>0.68619022031166044</v>
      </c>
      <c r="AC16" s="28">
        <f t="shared" si="1"/>
        <v>0.74224343675417659</v>
      </c>
      <c r="AD16" s="28">
        <f t="shared" si="2"/>
        <v>0.72062663185378595</v>
      </c>
      <c r="AE16" s="28">
        <f t="shared" si="3"/>
        <v>0.6563380281690141</v>
      </c>
      <c r="AF16" s="28">
        <f t="shared" si="4"/>
        <v>0.59493670886075944</v>
      </c>
      <c r="AG16" s="28">
        <f t="shared" si="5"/>
        <v>0.69047619047619047</v>
      </c>
      <c r="AH16" s="28">
        <f t="shared" si="6"/>
        <v>0.30158730158730157</v>
      </c>
      <c r="AI16" s="28">
        <f t="shared" si="7"/>
        <v>0.71988795518207283</v>
      </c>
      <c r="AJ16" s="28"/>
      <c r="AK16" s="28"/>
      <c r="AM16" s="19">
        <v>11</v>
      </c>
      <c r="AN16" s="2">
        <v>1861</v>
      </c>
      <c r="AO16" s="2">
        <v>1277</v>
      </c>
      <c r="AP16" s="26">
        <f t="shared" si="8"/>
        <v>83.428571428571431</v>
      </c>
      <c r="AQ16" s="51"/>
      <c r="AR16" s="26"/>
      <c r="AT16" s="19" t="s">
        <v>47</v>
      </c>
      <c r="AU16" s="2">
        <v>63</v>
      </c>
      <c r="AV16" s="2">
        <v>23</v>
      </c>
      <c r="AW16" s="2">
        <v>556</v>
      </c>
      <c r="AX16" s="2">
        <v>319</v>
      </c>
      <c r="AY16" s="2">
        <v>428</v>
      </c>
      <c r="AZ16" s="2">
        <v>311</v>
      </c>
      <c r="BA16" s="2">
        <v>372</v>
      </c>
      <c r="BB16" s="2">
        <v>210</v>
      </c>
      <c r="BC16" s="2">
        <v>394</v>
      </c>
      <c r="BD16" s="2">
        <v>283</v>
      </c>
      <c r="BE16" s="2">
        <v>182</v>
      </c>
      <c r="BF16" s="2">
        <v>98</v>
      </c>
      <c r="BG16" s="2">
        <v>126</v>
      </c>
      <c r="BH16" s="2">
        <v>72</v>
      </c>
      <c r="BI16" s="2">
        <v>2121</v>
      </c>
      <c r="BJ16" s="2">
        <v>1316</v>
      </c>
      <c r="BK16" s="2"/>
      <c r="BM16" s="20" t="s">
        <v>53</v>
      </c>
      <c r="BN16" s="25">
        <f t="shared" si="9"/>
        <v>83.428571428571431</v>
      </c>
      <c r="BO16" s="25">
        <f t="shared" si="10"/>
        <v>15.428571428571429</v>
      </c>
      <c r="BP16" s="25">
        <f t="shared" si="11"/>
        <v>15.285714285714286</v>
      </c>
      <c r="BQ16" s="25">
        <f t="shared" si="12"/>
        <v>17.428571428571427</v>
      </c>
      <c r="BR16" s="25">
        <f t="shared" si="13"/>
        <v>9.1428571428571423</v>
      </c>
      <c r="BS16" s="25">
        <f t="shared" si="14"/>
        <v>5.5714285714285712</v>
      </c>
      <c r="BT16" s="25">
        <f t="shared" si="15"/>
        <v>6.2857142857142856</v>
      </c>
      <c r="BU16" s="25">
        <f t="shared" si="16"/>
        <v>14.285714285714286</v>
      </c>
    </row>
    <row r="17" spans="1:73" x14ac:dyDescent="0.35">
      <c r="A17" s="28"/>
      <c r="B17" s="19">
        <v>12</v>
      </c>
      <c r="C17" s="2">
        <v>1908</v>
      </c>
      <c r="D17" s="2">
        <v>1299</v>
      </c>
      <c r="E17" s="28">
        <f t="shared" si="17"/>
        <v>0.6808176100628931</v>
      </c>
      <c r="F17" s="28"/>
      <c r="G17" s="28"/>
      <c r="H17" s="19" t="s">
        <v>48</v>
      </c>
      <c r="I17" s="2">
        <v>61</v>
      </c>
      <c r="J17" s="2">
        <v>18</v>
      </c>
      <c r="K17" s="2">
        <v>495</v>
      </c>
      <c r="L17" s="2">
        <v>333</v>
      </c>
      <c r="M17" s="2">
        <v>421</v>
      </c>
      <c r="N17" s="2">
        <v>312</v>
      </c>
      <c r="O17" s="2">
        <v>356</v>
      </c>
      <c r="P17" s="2">
        <v>176</v>
      </c>
      <c r="Q17" s="2">
        <v>420</v>
      </c>
      <c r="R17" s="2">
        <v>280</v>
      </c>
      <c r="S17" s="2">
        <v>182</v>
      </c>
      <c r="T17" s="2">
        <v>95</v>
      </c>
      <c r="U17" s="2">
        <v>126</v>
      </c>
      <c r="V17" s="2">
        <v>85</v>
      </c>
      <c r="W17" s="2">
        <v>2061</v>
      </c>
      <c r="X17" s="2">
        <v>1299</v>
      </c>
      <c r="Y17" s="2"/>
      <c r="Z17" s="28"/>
      <c r="AA17" s="20" t="s">
        <v>54</v>
      </c>
      <c r="AB17" s="28">
        <f t="shared" si="0"/>
        <v>0.6808176100628931</v>
      </c>
      <c r="AC17" s="28">
        <f t="shared" si="1"/>
        <v>0.66888888888888887</v>
      </c>
      <c r="AD17" s="28">
        <f t="shared" si="2"/>
        <v>0.74598930481283421</v>
      </c>
      <c r="AE17" s="28">
        <f t="shared" si="3"/>
        <v>0.66937669376693765</v>
      </c>
      <c r="AF17" s="28">
        <f t="shared" si="4"/>
        <v>0.65161290322580645</v>
      </c>
      <c r="AG17" s="28">
        <f t="shared" si="5"/>
        <v>0.86507936507936511</v>
      </c>
      <c r="AH17" s="28">
        <f t="shared" si="6"/>
        <v>0.17460317460317459</v>
      </c>
      <c r="AI17" s="28">
        <f t="shared" si="7"/>
        <v>0.67654986522911054</v>
      </c>
      <c r="AJ17" s="28"/>
      <c r="AK17" s="28"/>
      <c r="AM17" s="19">
        <v>12</v>
      </c>
      <c r="AN17" s="2">
        <v>1908</v>
      </c>
      <c r="AO17" s="2">
        <v>1299</v>
      </c>
      <c r="AP17" s="26">
        <f t="shared" si="8"/>
        <v>87</v>
      </c>
      <c r="AQ17" s="51"/>
      <c r="AR17" s="26"/>
      <c r="AT17" s="19" t="s">
        <v>48</v>
      </c>
      <c r="AU17" s="2">
        <v>61</v>
      </c>
      <c r="AV17" s="2">
        <v>18</v>
      </c>
      <c r="AW17" s="2">
        <v>495</v>
      </c>
      <c r="AX17" s="2">
        <v>333</v>
      </c>
      <c r="AY17" s="2">
        <v>421</v>
      </c>
      <c r="AZ17" s="2">
        <v>312</v>
      </c>
      <c r="BA17" s="2">
        <v>356</v>
      </c>
      <c r="BB17" s="2">
        <v>176</v>
      </c>
      <c r="BC17" s="2">
        <v>420</v>
      </c>
      <c r="BD17" s="2">
        <v>280</v>
      </c>
      <c r="BE17" s="2">
        <v>182</v>
      </c>
      <c r="BF17" s="2">
        <v>95</v>
      </c>
      <c r="BG17" s="2">
        <v>126</v>
      </c>
      <c r="BH17" s="2">
        <v>85</v>
      </c>
      <c r="BI17" s="2">
        <v>2061</v>
      </c>
      <c r="BJ17" s="2">
        <v>1299</v>
      </c>
      <c r="BK17" s="2"/>
      <c r="BM17" s="20" t="s">
        <v>54</v>
      </c>
      <c r="BN17" s="25">
        <f t="shared" si="9"/>
        <v>87</v>
      </c>
      <c r="BO17" s="25">
        <f t="shared" si="10"/>
        <v>21.285714285714285</v>
      </c>
      <c r="BP17" s="25">
        <f t="shared" si="11"/>
        <v>13.571428571428571</v>
      </c>
      <c r="BQ17" s="25">
        <f t="shared" si="12"/>
        <v>17.428571428571427</v>
      </c>
      <c r="BR17" s="25">
        <f t="shared" si="13"/>
        <v>7.7142857142857144</v>
      </c>
      <c r="BS17" s="25">
        <f t="shared" si="14"/>
        <v>2.4285714285714284</v>
      </c>
      <c r="BT17" s="25">
        <f t="shared" si="15"/>
        <v>7.4285714285714288</v>
      </c>
      <c r="BU17" s="25">
        <f t="shared" si="16"/>
        <v>17.142857142857142</v>
      </c>
    </row>
    <row r="18" spans="1:73" x14ac:dyDescent="0.35">
      <c r="A18" s="28"/>
      <c r="B18" s="19">
        <v>13</v>
      </c>
      <c r="C18" s="2">
        <v>1965</v>
      </c>
      <c r="D18" s="2">
        <v>1405</v>
      </c>
      <c r="E18" s="28">
        <f t="shared" si="17"/>
        <v>0.71501272264631044</v>
      </c>
      <c r="F18" s="28"/>
      <c r="G18" s="28"/>
      <c r="H18" s="19" t="s">
        <v>49</v>
      </c>
      <c r="I18" s="2">
        <v>62</v>
      </c>
      <c r="J18" s="2">
        <v>19</v>
      </c>
      <c r="K18" s="2">
        <v>444</v>
      </c>
      <c r="L18" s="2">
        <v>291</v>
      </c>
      <c r="M18" s="2">
        <v>412</v>
      </c>
      <c r="N18" s="2">
        <v>292</v>
      </c>
      <c r="O18" s="2">
        <v>365</v>
      </c>
      <c r="P18" s="2">
        <v>217</v>
      </c>
      <c r="Q18" s="2">
        <v>401</v>
      </c>
      <c r="R18" s="2">
        <v>309</v>
      </c>
      <c r="S18" s="2">
        <v>184</v>
      </c>
      <c r="T18" s="2">
        <v>114</v>
      </c>
      <c r="U18" s="2">
        <v>126</v>
      </c>
      <c r="V18" s="2">
        <v>94</v>
      </c>
      <c r="W18" s="2">
        <v>1994</v>
      </c>
      <c r="X18" s="2">
        <v>1336</v>
      </c>
      <c r="Y18" s="2"/>
      <c r="Z18" s="28"/>
      <c r="AA18" s="20" t="s">
        <v>55</v>
      </c>
      <c r="AB18" s="28">
        <f t="shared" si="0"/>
        <v>0.71501272264631044</v>
      </c>
      <c r="AC18" s="28">
        <f t="shared" si="1"/>
        <v>0.70140280561122248</v>
      </c>
      <c r="AD18" s="28">
        <f t="shared" si="2"/>
        <v>0.80371352785145889</v>
      </c>
      <c r="AE18" s="28">
        <f t="shared" si="3"/>
        <v>0.59610027855153203</v>
      </c>
      <c r="AF18" s="28">
        <f t="shared" si="4"/>
        <v>0.71084337349397586</v>
      </c>
      <c r="AG18" s="28">
        <f t="shared" si="5"/>
        <v>0.86507936507936511</v>
      </c>
      <c r="AH18" s="28">
        <f t="shared" si="6"/>
        <v>0.50793650793650791</v>
      </c>
      <c r="AI18" s="28">
        <f>VLOOKUP($AA18,$H$8:$X$1048576,11,FALSE)/VLOOKUP($AA18,$H$8:$X$1048576,10,FALSE)</f>
        <v>0.74399999999999999</v>
      </c>
      <c r="AJ18" s="28"/>
      <c r="AK18" s="28"/>
      <c r="AM18" s="19">
        <v>13</v>
      </c>
      <c r="AN18" s="2">
        <v>1965</v>
      </c>
      <c r="AO18" s="2">
        <v>1405</v>
      </c>
      <c r="AP18" s="26">
        <f t="shared" si="8"/>
        <v>80</v>
      </c>
      <c r="AQ18" s="51"/>
      <c r="AR18" s="26"/>
      <c r="AT18" s="19" t="s">
        <v>49</v>
      </c>
      <c r="AU18" s="2">
        <v>62</v>
      </c>
      <c r="AV18" s="2">
        <v>19</v>
      </c>
      <c r="AW18" s="2">
        <v>444</v>
      </c>
      <c r="AX18" s="2">
        <v>291</v>
      </c>
      <c r="AY18" s="2">
        <v>412</v>
      </c>
      <c r="AZ18" s="2">
        <v>292</v>
      </c>
      <c r="BA18" s="2">
        <v>365</v>
      </c>
      <c r="BB18" s="2">
        <v>217</v>
      </c>
      <c r="BC18" s="2">
        <v>401</v>
      </c>
      <c r="BD18" s="2">
        <v>309</v>
      </c>
      <c r="BE18" s="2">
        <v>184</v>
      </c>
      <c r="BF18" s="2">
        <v>114</v>
      </c>
      <c r="BG18" s="2">
        <v>126</v>
      </c>
      <c r="BH18" s="2">
        <v>94</v>
      </c>
      <c r="BI18" s="2">
        <v>1994</v>
      </c>
      <c r="BJ18" s="2">
        <v>1336</v>
      </c>
      <c r="BK18" s="2"/>
      <c r="BM18" s="20" t="s">
        <v>55</v>
      </c>
      <c r="BN18" s="25">
        <f t="shared" si="9"/>
        <v>80</v>
      </c>
      <c r="BO18" s="25">
        <f t="shared" si="10"/>
        <v>21.285714285714285</v>
      </c>
      <c r="BP18" s="25">
        <f t="shared" si="11"/>
        <v>10.571428571428571</v>
      </c>
      <c r="BQ18" s="25">
        <f t="shared" si="12"/>
        <v>20.714285714285715</v>
      </c>
      <c r="BR18" s="25">
        <f t="shared" si="13"/>
        <v>6.8571428571428568</v>
      </c>
      <c r="BS18" s="25">
        <f t="shared" si="14"/>
        <v>2.4285714285714284</v>
      </c>
      <c r="BT18" s="25">
        <f t="shared" si="15"/>
        <v>4.4285714285714288</v>
      </c>
      <c r="BU18" s="25">
        <f t="shared" si="16"/>
        <v>13.714285714285714</v>
      </c>
    </row>
    <row r="19" spans="1:73" x14ac:dyDescent="0.35">
      <c r="A19" s="28"/>
      <c r="B19"/>
      <c r="C19"/>
      <c r="D19"/>
      <c r="E19" s="28" t="e">
        <f t="shared" si="17"/>
        <v>#DIV/0!</v>
      </c>
      <c r="F19" s="28"/>
      <c r="G19" s="28"/>
      <c r="H19" s="19" t="s">
        <v>50</v>
      </c>
      <c r="I19" s="2">
        <v>69</v>
      </c>
      <c r="J19" s="2">
        <v>19</v>
      </c>
      <c r="K19" s="2">
        <v>420</v>
      </c>
      <c r="L19" s="2">
        <v>281</v>
      </c>
      <c r="M19" s="2">
        <v>377</v>
      </c>
      <c r="N19" s="2">
        <v>305</v>
      </c>
      <c r="O19" s="2">
        <v>363</v>
      </c>
      <c r="P19" s="2">
        <v>245</v>
      </c>
      <c r="Q19" s="2">
        <v>383</v>
      </c>
      <c r="R19" s="2">
        <v>295</v>
      </c>
      <c r="S19" s="2">
        <v>178</v>
      </c>
      <c r="T19" s="2">
        <v>137</v>
      </c>
      <c r="U19" s="2">
        <v>126</v>
      </c>
      <c r="V19" s="2">
        <v>76</v>
      </c>
      <c r="W19" s="2">
        <v>1916</v>
      </c>
      <c r="X19" s="2">
        <v>1358</v>
      </c>
      <c r="Y19" s="2"/>
      <c r="Z19" s="28"/>
      <c r="AA19" s="20"/>
      <c r="AB19" s="28"/>
      <c r="AC19" s="28"/>
      <c r="AD19" s="28"/>
      <c r="AE19" s="28"/>
      <c r="AF19" s="28"/>
      <c r="AG19" s="28"/>
      <c r="AH19" s="28"/>
      <c r="AI19" s="28"/>
      <c r="AJ19" s="28"/>
      <c r="AK19" s="28"/>
      <c r="AP19" s="26">
        <f t="shared" si="8"/>
        <v>0</v>
      </c>
      <c r="AQ19" s="51"/>
      <c r="AR19" s="26"/>
      <c r="AT19" s="19" t="s">
        <v>50</v>
      </c>
      <c r="AU19" s="2">
        <v>69</v>
      </c>
      <c r="AV19" s="2">
        <v>19</v>
      </c>
      <c r="AW19" s="2">
        <v>420</v>
      </c>
      <c r="AX19" s="2">
        <v>281</v>
      </c>
      <c r="AY19" s="2">
        <v>377</v>
      </c>
      <c r="AZ19" s="2">
        <v>305</v>
      </c>
      <c r="BA19" s="2">
        <v>363</v>
      </c>
      <c r="BB19" s="2">
        <v>245</v>
      </c>
      <c r="BC19" s="2">
        <v>383</v>
      </c>
      <c r="BD19" s="2">
        <v>295</v>
      </c>
      <c r="BE19" s="2">
        <v>178</v>
      </c>
      <c r="BF19" s="2">
        <v>137</v>
      </c>
      <c r="BG19" s="2">
        <v>126</v>
      </c>
      <c r="BH19" s="2">
        <v>76</v>
      </c>
      <c r="BI19" s="2">
        <v>1916</v>
      </c>
      <c r="BJ19" s="2">
        <v>1358</v>
      </c>
      <c r="BK19" s="2"/>
      <c r="BM19" s="20"/>
      <c r="BN19" s="25"/>
      <c r="BO19" s="25"/>
      <c r="BP19" s="25"/>
      <c r="BQ19" s="25"/>
      <c r="BR19" s="25"/>
      <c r="BS19" s="25"/>
      <c r="BT19" s="26"/>
    </row>
    <row r="20" spans="1:73" x14ac:dyDescent="0.35">
      <c r="A20" s="28"/>
      <c r="B20"/>
      <c r="C20"/>
      <c r="D20"/>
      <c r="E20" s="28" t="e">
        <f t="shared" si="17"/>
        <v>#DIV/0!</v>
      </c>
      <c r="F20" s="28"/>
      <c r="H20" s="19" t="s">
        <v>51</v>
      </c>
      <c r="I20" s="2">
        <v>63</v>
      </c>
      <c r="J20" s="2">
        <v>29</v>
      </c>
      <c r="K20" s="2">
        <v>412</v>
      </c>
      <c r="L20" s="2">
        <v>297</v>
      </c>
      <c r="M20" s="2">
        <v>379</v>
      </c>
      <c r="N20" s="2">
        <v>306</v>
      </c>
      <c r="O20" s="2">
        <v>354</v>
      </c>
      <c r="P20" s="2">
        <v>232</v>
      </c>
      <c r="Q20" s="2">
        <v>353</v>
      </c>
      <c r="R20" s="2">
        <v>282</v>
      </c>
      <c r="S20" s="2">
        <v>168</v>
      </c>
      <c r="T20" s="2">
        <v>118</v>
      </c>
      <c r="U20" s="2">
        <v>126</v>
      </c>
      <c r="V20" s="2">
        <v>67</v>
      </c>
      <c r="W20" s="2">
        <v>1855</v>
      </c>
      <c r="X20" s="2">
        <v>1331</v>
      </c>
      <c r="Y20" s="2"/>
      <c r="AP20" s="26">
        <f t="shared" si="8"/>
        <v>0</v>
      </c>
      <c r="AQ20" s="51"/>
      <c r="AR20" s="26"/>
      <c r="AT20" s="19" t="s">
        <v>51</v>
      </c>
      <c r="AU20" s="2">
        <v>63</v>
      </c>
      <c r="AV20" s="2">
        <v>29</v>
      </c>
      <c r="AW20" s="2">
        <v>412</v>
      </c>
      <c r="AX20" s="2">
        <v>297</v>
      </c>
      <c r="AY20" s="2">
        <v>379</v>
      </c>
      <c r="AZ20" s="2">
        <v>306</v>
      </c>
      <c r="BA20" s="2">
        <v>354</v>
      </c>
      <c r="BB20" s="2">
        <v>232</v>
      </c>
      <c r="BC20" s="2">
        <v>353</v>
      </c>
      <c r="BD20" s="2">
        <v>282</v>
      </c>
      <c r="BE20" s="2">
        <v>168</v>
      </c>
      <c r="BF20" s="2">
        <v>118</v>
      </c>
      <c r="BG20" s="2">
        <v>126</v>
      </c>
      <c r="BH20" s="2">
        <v>67</v>
      </c>
      <c r="BI20" s="2">
        <v>1855</v>
      </c>
      <c r="BJ20" s="2">
        <v>1331</v>
      </c>
      <c r="BK20" s="2"/>
    </row>
    <row r="21" spans="1:73" x14ac:dyDescent="0.35">
      <c r="H21" s="19" t="s">
        <v>39</v>
      </c>
      <c r="I21" s="2">
        <v>821</v>
      </c>
      <c r="J21" s="2">
        <v>286</v>
      </c>
      <c r="K21" s="2">
        <v>6563</v>
      </c>
      <c r="L21" s="2">
        <v>4061</v>
      </c>
      <c r="M21" s="2">
        <v>5255</v>
      </c>
      <c r="N21" s="2">
        <v>3960</v>
      </c>
      <c r="O21" s="2">
        <v>4773</v>
      </c>
      <c r="P21" s="2">
        <v>2911</v>
      </c>
      <c r="Q21" s="2">
        <v>4991</v>
      </c>
      <c r="R21" s="2">
        <v>3714</v>
      </c>
      <c r="S21" s="2">
        <v>2273</v>
      </c>
      <c r="T21" s="2">
        <v>1528</v>
      </c>
      <c r="U21" s="2">
        <v>1638</v>
      </c>
      <c r="V21" s="2">
        <v>1055</v>
      </c>
      <c r="W21" s="2">
        <v>26314</v>
      </c>
      <c r="X21" s="2">
        <v>17515</v>
      </c>
      <c r="Y21" s="2"/>
      <c r="AT21" s="19" t="s">
        <v>39</v>
      </c>
      <c r="AU21" s="2">
        <v>821</v>
      </c>
      <c r="AV21" s="2">
        <v>286</v>
      </c>
      <c r="AW21" s="2">
        <v>6563</v>
      </c>
      <c r="AX21" s="2">
        <v>4061</v>
      </c>
      <c r="AY21" s="2">
        <v>5255</v>
      </c>
      <c r="AZ21" s="2">
        <v>3960</v>
      </c>
      <c r="BA21" s="2">
        <v>4773</v>
      </c>
      <c r="BB21" s="2">
        <v>2911</v>
      </c>
      <c r="BC21" s="2">
        <v>4991</v>
      </c>
      <c r="BD21" s="2">
        <v>3714</v>
      </c>
      <c r="BE21" s="2">
        <v>2273</v>
      </c>
      <c r="BF21" s="2">
        <v>1528</v>
      </c>
      <c r="BG21" s="2">
        <v>1638</v>
      </c>
      <c r="BH21" s="2">
        <v>1055</v>
      </c>
      <c r="BI21" s="2">
        <v>26314</v>
      </c>
      <c r="BJ21" s="2">
        <v>17515</v>
      </c>
      <c r="BK21" s="2"/>
    </row>
  </sheetData>
  <mergeCells count="3">
    <mergeCell ref="AT1:BO1"/>
    <mergeCell ref="H1:AH1"/>
    <mergeCell ref="AM1:AP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4 4 2 b e 5 3 0 - 2 b b 4 - 4 0 2 f - 8 e 5 2 - c b 6 0 f a 2 7 6 0 7 6 " > < 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 2 1 2 7 9 9 9 9 4 2 < / S A H o s t H a s h > < G e m i n i F i e l d L i s t V i s i b l e > F a l s e < / G e m i n i F i e l d L i s t V i s i b l e > < / S e t t i n g s > ] ] > < / C u s t o m C o n t e n t > < / G e m i n i > 
</file>

<file path=customXml/item10.xml>��< ? x m l   v e r s i o n = " 1 . 0 "   e n c o d i n g = " U T F - 1 6 " ? > < G e m i n i   x m l n s = " h t t p : / / g e m i n i / p i v o t c u s t o m i z a t i o n / S h o w I m p l i c i t M e a s u r e s " > < C u s t o m C o n t e n t > < ! [ C D A T A [ F a l s e ] ] > < / C u s t o m C o n t e n t > < / G e m i n i > 
</file>

<file path=customXml/item11.xml>��< ? x m l   v e r s i o n = " 1 . 0 "   e n c o d i n g = " U T F - 1 6 " ? > < G e m i n i   x m l n s = " h t t p : / / g e m i n i / p i v o t c u s t o m i z a t i o n / f 7 3 5 e 7 c 4 - c 9 1 7 - 4 7 7 e - b 7 1 c - 9 7 e 3 7 3 0 8 f 1 6 d " > < 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 1 2 8 9 6 8 7 8 6 8 < / S A H o s t H a s h > < G e m i n i F i e l d L i s t V i s i b l e > T r u e < / G e m i n i F i e l d L i s t V i s i b l e > < / S e t t i n g s > ] ] > < / C u s t o m C o n t e n t > < / G e m i n i > 
</file>

<file path=customXml/item12.xml>��< ? x m l   v e r s i o n = " 1 . 0 "   e n c o d i n g = " U T F - 1 6 " ? > < G e m i n i   x m l n s = " h t t p : / / g e m i n i / p i v o t c u s t o m i z a t i o n / I s S a n d b o x E m b e d d e d " > < C u s t o m C o n t e n t > < ! [ C D A T A [ y e s ] ] > < / C u s t o m C o n t e n t > < / G e m i n i > 
</file>

<file path=customXml/item13.xml>��< ? x m l   v e r s i o n = " 1 . 0 "   e n c o d i n g = " U T F - 1 6 " ? > < G e m i n i   x m l n s = " h t t p : / / g e m i n i / p i v o t c u s t o m i z a t i o n / 3 c b 5 c d c a - 3 6 b 5 - 4 8 6 f - a 2 0 e - 3 9 c e 4 9 e 1 e 4 4 d " > < C u s t o m C o n t e n t > < ! [ C D A T A [ < ? x m l   v e r s i o n = " 1 . 0 "   e n c o d i n g = " u t f - 1 6 " ? > < S e t t i n g s > < C a l c u l a t e d F i e l d s > < i t e m > < M e a s u r e N a m e > S u m   o f   A m b   d e l a y s   o v e r   6 0   m i n s < / M e a s u r e N a m e > < D i s p l a y N a m e > S u m   o f   A m b   d e l a y s   o v e r   6 0   m i n s < / D i s p l a y N a m e > < V i s i b l e > T r u e < / V i s i b l e > < / i t e m > < / C a l c u l a t e d F i e l d s > < H S l i c e r s S h a p e > 0 ; 0 ; 0 ; 0 < / H S l i c e r s S h a p e > < V S l i c e r s S h a p e > 0 ; 0 ; 0 ; 0 < / V S l i c e r s S h a p e > < S l i c e r S h e e t N a m e > N I C U < / S l i c e r S h e e t N a m e > < S A H o s t H a s h > 4 3 6 0 7 4 2 3 5 < / S A H o s t H a s h > < G e m i n i F i e l d L i s t V i s i b l e > T r u e < / G e m i n i F i e l d L i s t V i s i b l e > < / S e t t i n g s > ] ] > < / C u s t o m C o n t e n t > < / G e m i n i > 
</file>

<file path=customXml/item14.xml>��< ? x m l   v e r s i o n = " 1 . 0 "   e n c o d i n g = " U T F - 1 6 " ? > < G e m i n i   x m l n s = " h t t p : / / g e m i n i / p i v o t c u s t o m i z a t i o n / 2 8 d e d f 1 c - 9 2 d 5 - 4 d 5 3 - b 4 e 5 - 4 d a 1 7 1 1 1 b b 7 9 " > < 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S A H o s t H a s h > 0 < / S A H o s t H a s h > < G e m i n i F i e l d L i s t V i s i b l e > T r u e < / G e m i n i F i e l d L i s t V i s i b l e > < / S e t t i n g s > ] ] > < / C u s t o m C o n t e n t > < / G e m i n i > 
</file>

<file path=customXml/item15.xml>��< ? x m l   v e r s i o n = " 1 . 0 "   e n c o d i n g = " U T F - 1 6 " ? > < G e m i n i   x m l n s = " h t t p : / / g e m i n i / p i v o t c u s t o m i z a t i o n / 9 d 0 6 c d 8 0 - 1 8 a b - 4 9 7 0 - a a b 5 - c 7 e c a 7 1 e b 3 d b " > < C u s t o m C o n t e n t > < ! [ C D A T A [ < ? x m l   v e r s i o n = " 1 . 0 "   e n c o d i n g = " u t f - 1 6 " ? > < S e t t i n g s > < C a l c u l a t e d F i e l d s > < i t e m > < M e a s u r e N a m e > S u m   o f   A E   d i v e r t s < / M e a s u r e N a m e > < D i s p l a y N a m e > S u m   o f   A E   d i v e r t s < / D i s p l a y N a m e > < V i s i b l e > T r u e < / V i s i b l e > < / i t e m > < / C a l c u l a t e d F i e l d s > < S A H o s t H a s h > 0 < / S A H o s t H a s h > < G e m i n i F i e l d L i s t V i s i b l e > T r u e < / G e m i n i F i e l d L i s t V i s i b l e > < / S e t t i n g s > ] ] > < / C u s t o m C o n t e n t > < / G e m i n i > 
</file>

<file path=customXml/item16.xml>��< ? x m l   v e r s i o n = " 1 . 0 "   e n c o d i n g = " U T F - 1 6 " ? > < G e m i n i   x m l n s = " h t t p : / / g e m i n i / p i v o t c u s t o m i z a t i o n / b 0 e f 4 d f 9 - 2 9 8 0 - 4 2 7 c - 9 2 7 7 - 0 9 e 1 9 a 1 b f 0 e 0 " > < 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 1 7 4 5 2 4 5 8 0 8 < / S A H o s t H a s h > < G e m i n i F i e l d L i s t V i s i b l e > T r u e < / G e m i n i F i e l d L i s t V i s i b l e > < / S e t t i n g s > ] ] > < / C u s t o m C o n t e n t > < / G e m i n i > 
</file>

<file path=customXml/item17.xml>��< ? x m l   v e r s i o n = " 1 . 0 "   e n c o d i n g = " U T F - 1 6 " ? > < G e m i n i   x m l n s = " h t t p : / / g e m i n i / p i v o t c u s t o m i z a t i o n / h t t p : / / g e m i n i / w o r k b o o k c u s t o m i z a t i o n / R e l a t i o n s h i p A u t o D e t e c t i o n E n a b l e d " > < C u s t o m C o n t e n t > < ! [ C D A T A [ T r u e ] ] > < / C u s t o m C o n t e n t > < / G e m i n i > 
</file>

<file path=customXml/item18.xml>��< ? x m l   v e r s i o n = " 1 . 0 "   e n c o d i n g = " U T F - 1 6 " ? > < G e m i n i   x m l n s = " h t t p : / / g e m i n i / p i v o t c u s t o m i z a t i o n / 8 6 0 2 e 9 0 7 - d d c 4 - 4 0 b b - 8 9 c a - 8 3 6 9 d e 9 1 4 b b 2 " > < 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 L o n g   s t a y < / S l i c e r S h e e t N a m e > < S A H o s t H a s h > 8 6 2 3 2 1 2 0 5 < / S A H o s t H a s h > < G e m i n i F i e l d L i s t V i s i b l e > F a l s e < / G e m i n i F i e l d L i s t V i s i b l e > < / S e t t i n g s > ] ] > < / C u s t o m C o n t e n t > < / G e m i n i > 
</file>

<file path=customXml/item19.xml>��< ? x m l   v e r s i o n = " 1 . 0 "   e n c o d i n g = " U T F - 1 6 " ? > < G e m i n i   x m l n s = " h t t p : / / g e m i n i / p i v o t c u s t o m i z a t i o n / f 3 1 2 5 b e 8 - 0 2 6 8 - 4 a a b - a 2 0 c - 9 3 5 9 a 9 7 f f 2 7 0 " > < 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S A H o s t H a s h > 0 < / S A H o s t H a s h > < G e m i n i F i e l d L i s t V i s i b l e > T r u e < / G e m i n i F i e l d L i s t V i s i b l e > < / S e t t i n g s > ] ] > < / C u s t o m C o n t e n t > < / G e m i n i > 
</file>

<file path=customXml/item2.xml>��< ? x m l   v e r s i o n = " 1 . 0 "   e n c o d i n g = " U T F - 1 6 " ? > < G e m i n i   x m l n s = " h t t p : / / g e m i n i / p i v o t c u s t o m i z a t i o n / e c b 0 1 0 0 6 - d 7 7 8 - 4 5 2 3 - b b 6 1 - 3 a 8 5 7 6 3 8 a 5 d f " > < C u s t o m C o n t e n t > < ! [ C D A T A [ < ? x m l   v e r s i o n = " 1 . 0 "   e n c o d i n g = " u t f - 1 6 " ? > < S e t t i n g s > < C a l c u l a t e d F i e l d s > < i t e m > < M e a s u r e N a m e > S u m   o f   B e d s   o c c   o v e r   2 1   d a y s < / M e a s u r e N a m e > < D i s p l a y N a m e > S u m   o f   B e d s   o c c   o v e r   2 1   d a y s < / D i s p l a y N a m e > < V i s i b l e > T r u e < / V i s i b l e > < / i t e m > < / C a l c u l a t e d F i e l d s > < H S l i c e r s S h a p e > 0 ; 0 ; 0 ; 0 < / H S l i c e r s S h a p e > < V S l i c e r s S h a p e > 0 ; 0 ; 0 ; 0 < / V S l i c e r s S h a p e > < S l i c e r S h e e t N a m e > G & a m p ; A   b e d   o c c . < / S l i c e r S h e e t N a m e > < S A H o s t H a s h > 4 4 3 1 6 5 1 6 8 < / S A H o s t H a s h > < G e m i n i F i e l d L i s t V i s i b l e > F a l s e < / G e m i n i F i e l d L i s t V i s i b l e > < / S e t t i n g s > ] ] > < / C u s t o m C o n t e n t > < / G e m i n i > 
</file>

<file path=customXml/item20.xml>��< ? x m l   v e r s i o n = " 1 . 0 "   e n c o d i n g = " U T F - 1 6 " ? > < G e m i n i   x m l n s = " h t t p : / / g e m i n i / p i v o t c u s t o m i z a t i o n / 2 d 9 d 5 7 d 6 - 2 4 1 a - 4 b 7 d - 8 0 0 7 - 2 3 7 5 6 d b f 9 3 5 4 " > < 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 L o n g   s t a y < / S l i c e r S h e e t N a m e > < S A H o s t H a s h > 8 6 2 3 2 1 2 0 5 < / S A H o s t H a s h > < G e m i n i F i e l d L i s t V i s i b l e > F a l s e < / G e m i n i F i e l d L i s t V i s i b l e > < / S e t t i n g s > ] ] > < / C u s t o m C o n t e n t > < / G e m i n i > 
</file>

<file path=customXml/item21.xml>��< ? x m l   v e r s i o n = " 1 . 0 "   e n c o d i n g = " U T F - 1 6 " ? > < G e m i n i   x m l n s = " h t t p : / / g e m i n i / p i v o t c u s t o m i z a t i o n / a d f c 4 4 0 e - 7 8 6 6 - 4 9 5 3 - b b 1 b - e b 5 8 1 3 3 3 b e 6 3 " > < C u s t o m C o n t e n t > < ! [ C D A T A [ < ? x m l   v e r s i o n = " 1 . 0 "   e n c o d i n g = " u t f - 1 6 " ? > < S e t t i n g s > < C a l c u l a t e d F i e l d s > < i t e m > < M e a s u r e N a m e > S u m   o f   B e d s   o c c   o v e r   1 4   d a y s < / M e a s u r e N a m e > < D i s p l a y N a m e > S u m   o f   B e d s   o c c   o v e r   1 4   d a y s < / D i s p l a y N a m e > < V i s i b l e > T r u e < / V i s i b l e > < / i t e m > < / C a l c u l a t e d F i e l d s > < H S l i c e r s S h a p e > 0 ; 0 ; 0 ; 0 < / H S l i c e r s S h a p e > < V S l i c e r s S h a p e > 0 ; 0 ; 0 ; 0 < / V S l i c e r s S h a p e > < S l i c e r S h e e t N a m e > L o n g   s t a y < / S l i c e r S h e e t N a m e > < S A H o s t H a s h > 6 2 9 2 9 1 1 3 3 < / S A H o s t H a s h > < G e m i n i F i e l d L i s t V i s i b l e > F a l s e < / G e m i n i F i e l d L i s t V i s i b l e > < / S e t t i n g s > ] ] > < / C u s t o m C o n t e n t > < / G e m i n i > 
</file>

<file path=customXml/item22.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23.xml>��< ? x m l   v e r s i o n = " 1 . 0 "   e n c o d i n g = " U T F - 1 6 " ? > < G e m i n i   x m l n s = " h t t p : / / g e m i n i / p i v o t c u s t o m i z a t i o n / 7 5 1 0 8 4 2 0 - 6 8 4 c - 4 0 3 6 - b d f e - d f d 1 f 9 7 3 e 4 7 b " > < C u s t o m C o n t e n t > < ! [ C D A T A [ < ? x m l   v e r s i o n = " 1 . 0 "   e n c o d i n g = " u t f - 1 6 " ? > < S e t t i n g s > < C a l c u l a t e d F i e l d s > < i t e m > < M e a s u r e N a m e > A v e r a g e   o f   G A   b e d   o c c u p a n c y < / M e a s u r e N a m e > < D i s p l a y N a m e > A v e r a g e   o f   G A   b e d   o c c u p a n c y < / D i s p l a y N a m e > < V i s i b l e > T r u e < / V i s i b l e > < / i t e m > < / C a l c u l a t e d F i e l d s > < S A H o s t H a s h > 0 < / S A H o s t H a s h > < G e m i n i F i e l d L i s t V i s i b l e > T r u e < / G e m i n i F i e l d L i s t V i s i b l e > < / S e t t i n g s > ] ] > < / C u s t o m C o n t e n t > < / G e m i n i > 
</file>

<file path=customXml/item24.xml>��< ? x m l   v e r s i o n = " 1 . 0 "   e n c o d i n g = " U T F - 1 6 " ? > < G e m i n i   x m l n s = " h t t p : / / g e m i n i / p i v o t c u s t o m i z a t i o n / 7 e c 8 6 b b 0 - 3 b f 3 - 4 9 4 4 - b 8 9 4 - a 8 0 5 7 7 8 9 e 3 6 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 L o n g   s t a y < / S l i c e r S h e e t N a m e > < S A H o s t H a s h > 8 6 2 3 2 1 2 0 5 < / S A H o s t H a s h > < G e m i n i F i e l d L i s t V i s i b l e > T r u e < / G e m i n i F i e l d L i s t V i s i b l e > < / S e t t i n g s > ] ] > < / C u s t o m C o n t e n t > < / G e m i n i > 
</file>

<file path=customXml/item25.xml>��< ? x m l   v e r s i o n = " 1 . 0 "   e n c o d i n g = " U T F - 1 6 " ? > < G e m i n i   x m l n s = " h t t p : / / g e m i n i / p i v o t c u s t o m i z a t i o n / d 5 e e 9 b e f - 4 b b 4 - 4 a f f - b 8 f 7 - 1 1 6 d 3 b e 6 0 2 b 7 " > < C u s t o m C o n t e n t > < ! [ C D A T A [ < ? x m l   v e r s i o n = " 1 . 0 "   e n c o d i n g = " u t f - 1 6 " ? > < S e t t i n g s > < H S l i c e r s S h a p e > 0 ; 0 ; 0 ; 0 < / H S l i c e r s S h a p e > < V S l i c e r s S h a p e > 0 ; 0 ; 0 ; 0 < / V S l i c e r s S h a p e > < S l i c e r S h e e t N a m e > L o n g   s t a y < / S l i c e r S h e e t N a m e > < S A H o s t H a s h > 2 1 0 6 5 3 1 7 5 7 < / S A H o s t H a s h > < G e m i n i F i e l d L i s t V i s i b l e > F a l s e < / G e m i n i F i e l d L i s t V i s i b l e > < / S e t t i n g s > ] ] > < / C u s t o m C o n t e n t > < / G e m i n i > 
</file>

<file path=customXml/item26.xml>��< ? x m l   v e r s i o n = " 1 . 0 "   e n c o d i n g = " U T F - 1 6 " ? > < G e m i n i   x m l n s = " h t t p : / / g e m i n i / p i v o t c u s t o m i z a t i o n / T a b l e O r d e r " > < C u s t o m C o n t e n t > < ! [ C D A T A [ W i n t e r   d a i l y   s i t r e p s _ 1 d f 8 1 2 b b - 9 f c 3 - 4 6 7 4 - 8 d 4 1 - 6 0 c 6 7 2 6 a 8 e f 3 , W i n t e r   b e d   o c c   o v e r   1 4   d a y s ] ] > < / C u s t o m C o n t e n t > < / G e m i n i > 
</file>

<file path=customXml/item27.xml>��< ? x m l   v e r s i o n = " 1 . 0 "   e n c o d i n g = " U T F - 1 6 " ? > < G e m i n i   x m l n s = " h t t p : / / g e m i n i / p i v o t c u s t o m i z a t i o n / d d 0 9 8 1 d d - 8 6 3 9 - 4 5 a e - b 5 0 1 - a 4 9 7 8 9 7 f 6 7 6 e " > < 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 5 5 5 5 6 1 8 4 3 < / S A H o s t H a s h > < G e m i n i F i e l d L i s t V i s i b l e > T r u e < / G e m i n i F i e l d L i s t V i s i b l e > < / S e t t i n g s > ] ] > < / C u s t o m C o n t e n t > < / G e m i n i > 
</file>

<file path=customXml/item28.xml>��< ? x m l   v e r s i o n = " 1 . 0 "   e n c o d i n g = " U T F - 1 6 " ? > < G e m i n i   x m l n s = " h t t p : / / g e m i n i / p i v o t c u s t o m i z a t i o n / T a b l e X M L _ W i n t e r   b e d   o c c   o v e r   1 4   d a y s " > < C u s t o m C o n t e n t > < ! [ C D A T A [ < T a b l e W i d g e t G r i d S e r i a l i z a t i o n   x m l n s : x s d = " h t t p : / / w w w . w 3 . o r g / 2 0 0 1 / X M L S c h e m a "   x m l n s : x s i = " h t t p : / / w w w . w 3 . o r g / 2 0 0 1 / X M L S c h e m a - i n s t a n c e " > < C o l u m n S u g g e s t e d T y p e > < i t e m > < k e y > < s t r i n g > R e g i o n < / s t r i n g > < / k e y > < v a l u e > < s t r i n g > W C h a r < / s t r i n g > < / v a l u e > < / i t e m > < i t e m > < k e y > < s t r i n g > C o d e < / s t r i n g > < / k e y > < v a l u e > < s t r i n g > W C h a r < / s t r i n g > < / v a l u e > < / i t e m > < i t e m > < k e y > < s t r i n g > N a m e < / s t r i n g > < / k e y > < v a l u e > < s t r i n g > W C h a r < / s t r i n g > < / v a l u e > < / i t e m > < i t e m > < k e y > < s t r i n g > Y e a r < / s t r i n g > < / k e y > < v a l u e > < s t r i n g > W C h a r < / s t r i n g > < / v a l u e > < / i t e m > < i t e m > < k e y > < s t r i n g > D a t e < / s t r i n g > < / k e y > < v a l u e > < s t r i n g > D a t e < / s t r i n g > < / v a l u e > < / i t e m > < i t e m > < k e y > < s t r i n g > W e e k < / s t r i n g > < / k e y > < v a l u e > < s t r i n g > B i g I n t < / s t r i n g > < / v a l u e > < / i t e m > < i t e m > < k e y > < s t r i n g > D a y < / s t r i n g > < / k e y > < v a l u e > < s t r i n g > W C h a r < / s t r i n g > < / v a l u e > < / i t e m > < i t e m > < k e y > < s t r i n g > W e e k e n d < / s t r i n g > < / k e y > < v a l u e > < s t r i n g > B i g I n t < / s t r i n g > < / v a l u e > < / i t e m > < i t e m > < k e y > < s t r i n g > B a n k   h o l i d a y < / s t r i n g > < / k e y > < v a l u e > < s t r i n g > E m p t y < / s t r i n g > < / v a l u e > < / i t e m > < i t e m > < k e y > < s t r i n g > A   E   c l o s u r e s < / s t r i n g > < / k e y > < v a l u e > < s t r i n g > B i g I n t < / s t r i n g > < / v a l u e > < / i t e m > < i t e m > < k e y > < s t r i n g > A   E   d i v e r t s < / s t r i n g > < / k e y > < v a l u e > < s t r i n g > B i g I n t < / s t r i n g > < / v a l u e > < / i t e m > < i t e m > < k e y > < s t r i n g > G   A   c o r e   b e d s   a v a i l < / s t r i n g > < / k e y > < v a l u e > < s t r i n g > B i g I n t < / s t r i n g > < / v a l u e > < / i t e m > < i t e m > < k e y > < s t r i n g > G   A   e s c a l a t i o n   b e d s   a v a i l < / s t r i n g > < / k e y > < v a l u e > < s t r i n g > B i g I n t < / s t r i n g > < / v a l u e > < / i t e m > < i t e m > < k e y > < s t r i n g > G   A   t o t a l   b e d s   a v a i l < / s t r i n g > < / k e y > < v a l u e > < s t r i n g > B i g I n t < / s t r i n g > < / v a l u e > < / i t e m > < i t e m > < k e y > < s t r i n g > G   A   t o t a l   b e d s   o c c u p i e d < / s t r i n g > < / k e y > < v a l u e > < s t r i n g > B i g I n t < / s t r i n g > < / v a l u e > < / i t e m > < i t e m > < k e y > < s t r i n g > B e d s   o c c   o v e r   7   d a y s < / s t r i n g > < / k e y > < v a l u e > < s t r i n g > B i g I n t < / s t r i n g > < / v a l u e > < / i t e m > < i t e m > < k e y > < s t r i n g > B e d s   o c c   o v e r   2 1   d a y s < / s t r i n g > < / k e y > < v a l u e > < s t r i n g > B i g I n t < / s t r i n g > < / v a l u e > < / i t e m > < i t e m > < k e y > < s t r i n g > B e d s   c l o s e d   n o r o v i r u s < / s t r i n g > < / k e y > < v a l u e > < s t r i n g > B i g I n t < / s t r i n g > < / v a l u e > < / i t e m > < i t e m > < k e y > < s t r i n g > B e d s   c l o s e d   n o r o v i u s   u n o c c < / s t r i n g > < / k e y > < v a l u e > < s t r i n g > B i g I n t < / s t r i n g > < / v a l u e > < / i t e m > < i t e m > < k e y > < s t r i n g > A d u l t   C C   b e d s   a v a i l < / s t r i n g > < / k e y > < v a l u e > < s t r i n g > B i g I n t < / s t r i n g > < / v a l u e > < / i t e m > < i t e m > < k e y > < s t r i n g > A d u l t   C C   b e d s   o c c < / s t r i n g > < / k e y > < v a l u e > < s t r i n g > B i g I n t < / s t r i n g > < / v a l u e > < / i t e m > < i t e m > < k e y > < s t r i n g > P a e d   I n t   C a r e   A v a i l < / s t r i n g > < / k e y > < v a l u e > < s t r i n g > B i g I n t < / s t r i n g > < / v a l u e > < / i t e m > < i t e m > < k e y > < s t r i n g > P a e d   I n t   C a r e   O c c < / s t r i n g > < / k e y > < v a l u e > < s t r i n g > B i g I n t < / s t r i n g > < / v a l u e > < / i t e m > < i t e m > < k e y > < s t r i n g > N e o   I n t   C a r e   A v a i l < / s t r i n g > < / k e y > < v a l u e > < s t r i n g > B i g I n t < / s t r i n g > < / v a l u e > < / i t e m > < i t e m > < k e y > < s t r i n g > N e o   I n t   C a r e   o c c < / s t r i n g > < / k e y > < v a l u e > < s t r i n g > B i g I n t < / s t r i n g > < / v a l u e > < / i t e m > < i t e m > < k e y > < s t r i n g > A m b   a r r i v a l s < / s t r i n g > < / k e y > < v a l u e > < s t r i n g > B i g I n t < / s t r i n g > < / v a l u e > < / i t e m > < i t e m > < k e y > < s t r i n g > A m b   d e l a y s   3 0 - 6 0   m i n s < / s t r i n g > < / k e y > < v a l u e > < s t r i n g > B i g I n t < / s t r i n g > < / v a l u e > < / i t e m > < i t e m > < k e y > < s t r i n g > A m b   d e l a y s   o v e r   6 0   m i n s < / s t r i n g > < / k e y > < v a l u e > < s t r i n g > B i g I n t < / s t r i n g > < / v a l u e > < / i t e m > < i t e m > < k e y > < s t r i n g > B e d s   o c c   o v e r   1 4   d a y s < / s t r i n g > < / k e y > < v a l u e > < s t r i n g > B i g I n t < / s t r i n g > < / v a l u e > < / i t e m > < / C o l u m n S u g g e s t e d T y p e > < C o l u m n F o r m a t   / > < C o l u m n A c c u r a c y   / > < C o l u m n C u r r e n c y S y m b o l   / > < C o l u m n P o s i t i v e P a t t e r n   / > < C o l u m n N e g a t i v e P a t t e r n   / > < C o l u m n W i d t h s > < i t e m > < k e y > < s t r i n g > R e g i o n < / s t r i n g > < / k e y > < v a l u e > < i n t > 8 4 < / i n t > < / v a l u e > < / i t e m > < i t e m > < k e y > < s t r i n g > C o d e < / s t r i n g > < / k e y > < v a l u e > < i n t > 7 3 < / i n t > < / v a l u e > < / i t e m > < i t e m > < k e y > < s t r i n g > N a m e < / s t r i n g > < / k e y > < v a l u e > < i n t > 7 8 < / i n t > < / v a l u e > < / i t e m > < i t e m > < k e y > < s t r i n g > Y e a r < / s t r i n g > < / k e y > < v a l u e > < i n t > 6 7 < / i n t > < / v a l u e > < / i t e m > < i t e m > < k e y > < s t r i n g > D a t e < / s t r i n g > < / k e y > < v a l u e > < i n t > 7 0 < / i n t > < / v a l u e > < / i t e m > < i t e m > < k e y > < s t r i n g > W e e k < / s t r i n g > < / k e y > < v a l u e > < i n t > 7 6 < / i n t > < / v a l u e > < / i t e m > < i t e m > < k e y > < s t r i n g > D a y < / s t r i n g > < / k e y > < v a l u e > < i n t > 6 4 < / i n t > < / v a l u e > < / i t e m > < i t e m > < k e y > < s t r i n g > W e e k e n d < / s t r i n g > < / k e y > < v a l u e > < i n t > 1 0 0 < / i n t > < / v a l u e > < / i t e m > < i t e m > < k e y > < s t r i n g > B a n k   h o l i d a y < / s t r i n g > < / k e y > < v a l u e > < i n t > 1 2 0 < / i n t > < / v a l u e > < / i t e m > < i t e m > < k e y > < s t r i n g > A   E   c l o s u r e s < / s t r i n g > < / k e y > < v a l u e > < i n t > 1 1 4 < / i n t > < / v a l u e > < / i t e m > < i t e m > < k e y > < s t r i n g > A   E   d i v e r t s < / s t r i n g > < / k e y > < v a l u e > < i n t > 1 0 6 < / i n t > < / v a l u e > < / i t e m > < i t e m > < k e y > < s t r i n g > G   A   c o r e   b e d s   a v a i l < / s t r i n g > < / k e y > < v a l u e > < i n t > 1 5 7 < / i n t > < / v a l u e > < / i t e m > < i t e m > < k e y > < s t r i n g > G   A   e s c a l a t i o n   b e d s   a v a i l < / s t r i n g > < / k e y > < v a l u e > < i n t > 1 9 2 < / i n t > < / v a l u e > < / i t e m > < i t e m > < k e y > < s t r i n g > G   A   t o t a l   b e d s   a v a i l < / s t r i n g > < / k e y > < v a l u e > < i n t > 1 5 9 < / i n t > < / v a l u e > < / i t e m > < i t e m > < k e y > < s t r i n g > G   A   t o t a l   b e d s   o c c u p i e d < / s t r i n g > < / k e y > < v a l u e > < i n t > 1 8 6 < / i n t > < / v a l u e > < / i t e m > < i t e m > < k e y > < s t r i n g > B e d s   o c c   o v e r   7   d a y s < / s t r i n g > < / k e y > < v a l u e > < i n t > 1 6 6 < / i n t > < / v a l u e > < / i t e m > < i t e m > < k e y > < s t r i n g > B e d s   o c c   o v e r   2 1   d a y s < / s t r i n g > < / k e y > < v a l u e > < i n t > 1 7 3 < / i n t > < / v a l u e > < / i t e m > < i t e m > < k e y > < s t r i n g > B e d s   c l o s e d   n o r o v i r u s < / s t r i n g > < / k e y > < v a l u e > < i n t > 1 7 6 < / i n t > < / v a l u e > < / i t e m > < i t e m > < k e y > < s t r i n g > B e d s   c l o s e d   n o r o v i u s   u n o c c < / s t r i n g > < / k e y > < v a l u e > < i n t > 2 1 0 < / i n t > < / v a l u e > < / i t e m > < i t e m > < k e y > < s t r i n g > A d u l t   C C   b e d s   a v a i l < / s t r i n g > < / k e y > < v a l u e > < i n t > 1 5 9 < / i n t > < / v a l u e > < / i t e m > < i t e m > < k e y > < s t r i n g > A d u l t   C C   b e d s   o c c < / s t r i n g > < / k e y > < v a l u e > < i n t > 1 5 0 < / i n t > < / v a l u e > < / i t e m > < i t e m > < k e y > < s t r i n g > P a e d   I n t   C a r e   A v a i l < / s t r i n g > < / k e y > < v a l u e > < i n t > 1 5 7 < / i n t > < / v a l u e > < / i t e m > < i t e m > < k e y > < s t r i n g > P a e d   I n t   C a r e   O c c < / s t r i n g > < / k e y > < v a l u e > < i n t > 1 4 8 < / i n t > < / v a l u e > < / i t e m > < i t e m > < k e y > < s t r i n g > N e o   I n t   C a r e   A v a i l < / s t r i n g > < / k e y > < v a l u e > < i n t > 1 5 2 < / i n t > < / v a l u e > < / i t e m > < i t e m > < k e y > < s t r i n g > N e o   I n t   C a r e   o c c < / s t r i n g > < / k e y > < v a l u e > < i n t > 1 4 1 < / i n t > < / v a l u e > < / i t e m > < i t e m > < k e y > < s t r i n g > A m b   a r r i v a l s < / s t r i n g > < / k e y > < v a l u e > < i n t > 1 1 8 < / i n t > < / v a l u e > < / i t e m > < i t e m > < k e y > < s t r i n g > A m b   d e l a y s   3 0 - 6 0   m i n s < / s t r i n g > < / k e y > < v a l u e > < i n t > 1 8 2 < / i n t > < / v a l u e > < / i t e m > < i t e m > < k e y > < s t r i n g > A m b   d e l a y s   o v e r   6 0   m i n s < / s t r i n g > < / k e y > < v a l u e > < i n t > 1 9 4 < / i n t > < / v a l u e > < / i t e m > < i t e m > < k e y > < s t r i n g > B e d s   o c c   o v e r   1 4   d a y s < / s t r i n g > < / k e y > < v a l u e > < i n t > 1 7 3 < / i n t > < / v a l u e > < / i t e m > < / C o l u m n W i d t h s > < C o l u m n D i s p l a y I n d e x > < i t e m > < k e y > < s t r i n g > R e g i o n < / s t r i n g > < / k e y > < v a l u e > < i n t > 0 < / i n t > < / v a l u e > < / i t e m > < i t e m > < k e y > < s t r i n g > C o d e < / s t r i n g > < / k e y > < v a l u e > < i n t > 1 < / i n t > < / v a l u e > < / i t e m > < i t e m > < k e y > < s t r i n g > N a m e < / s t r i n g > < / k e y > < v a l u e > < i n t > 2 < / i n t > < / v a l u e > < / i t e m > < i t e m > < k e y > < s t r i n g > Y e a r < / s t r i n g > < / k e y > < v a l u e > < i n t > 3 < / i n t > < / v a l u e > < / i t e m > < i t e m > < k e y > < s t r i n g > D a t e < / s t r i n g > < / k e y > < v a l u e > < i n t > 4 < / i n t > < / v a l u e > < / i t e m > < i t e m > < k e y > < s t r i n g > W e e k < / s t r i n g > < / k e y > < v a l u e > < i n t > 5 < / i n t > < / v a l u e > < / i t e m > < i t e m > < k e y > < s t r i n g > D a y < / s t r i n g > < / k e y > < v a l u e > < i n t > 6 < / i n t > < / v a l u e > < / i t e m > < i t e m > < k e y > < s t r i n g > W e e k e n d < / s t r i n g > < / k e y > < v a l u e > < i n t > 7 < / i n t > < / v a l u e > < / i t e m > < i t e m > < k e y > < s t r i n g > B a n k   h o l i d a y < / s t r i n g > < / k e y > < v a l u e > < i n t > 8 < / i n t > < / v a l u e > < / i t e m > < i t e m > < k e y > < s t r i n g > A   E   c l o s u r e s < / s t r i n g > < / k e y > < v a l u e > < i n t > 9 < / i n t > < / v a l u e > < / i t e m > < i t e m > < k e y > < s t r i n g > A   E   d i v e r t s < / s t r i n g > < / k e y > < v a l u e > < i n t > 1 0 < / i n t > < / v a l u e > < / i t e m > < i t e m > < k e y > < s t r i n g > G   A   c o r e   b e d s   a v a i l < / s t r i n g > < / k e y > < v a l u e > < i n t > 1 1 < / i n t > < / v a l u e > < / i t e m > < i t e m > < k e y > < s t r i n g > G   A   e s c a l a t i o n   b e d s   a v a i l < / s t r i n g > < / k e y > < v a l u e > < i n t > 1 2 < / i n t > < / v a l u e > < / i t e m > < i t e m > < k e y > < s t r i n g > G   A   t o t a l   b e d s   a v a i l < / s t r i n g > < / k e y > < v a l u e > < i n t > 1 3 < / i n t > < / v a l u e > < / i t e m > < i t e m > < k e y > < s t r i n g > G   A   t o t a l   b e d s   o c c u p i e d < / s t r i n g > < / k e y > < v a l u e > < i n t > 1 4 < / i n t > < / v a l u e > < / i t e m > < i t e m > < k e y > < s t r i n g > B e d s   o c c   o v e r   7   d a y s < / s t r i n g > < / k e y > < v a l u e > < i n t > 1 5 < / i n t > < / v a l u e > < / i t e m > < i t e m > < k e y > < s t r i n g > B e d s   o c c   o v e r   2 1   d a y s < / s t r i n g > < / k e y > < v a l u e > < i n t > 1 6 < / i n t > < / v a l u e > < / i t e m > < i t e m > < k e y > < s t r i n g > B e d s   c l o s e d   n o r o v i r u s < / s t r i n g > < / k e y > < v a l u e > < i n t > 1 7 < / i n t > < / v a l u e > < / i t e m > < i t e m > < k e y > < s t r i n g > B e d s   c l o s e d   n o r o v i u s   u n o c c < / s t r i n g > < / k e y > < v a l u e > < i n t > 1 8 < / i n t > < / v a l u e > < / i t e m > < i t e m > < k e y > < s t r i n g > A d u l t   C C   b e d s   a v a i l < / s t r i n g > < / k e y > < v a l u e > < i n t > 1 9 < / i n t > < / v a l u e > < / i t e m > < i t e m > < k e y > < s t r i n g > A d u l t   C C   b e d s   o c c < / s t r i n g > < / k e y > < v a l u e > < i n t > 2 0 < / i n t > < / v a l u e > < / i t e m > < i t e m > < k e y > < s t r i n g > P a e d   I n t   C a r e   A v a i l < / s t r i n g > < / k e y > < v a l u e > < i n t > 2 1 < / i n t > < / v a l u e > < / i t e m > < i t e m > < k e y > < s t r i n g > P a e d   I n t   C a r e   O c c < / s t r i n g > < / k e y > < v a l u e > < i n t > 2 2 < / i n t > < / v a l u e > < / i t e m > < i t e m > < k e y > < s t r i n g > N e o   I n t   C a r e   A v a i l < / s t r i n g > < / k e y > < v a l u e > < i n t > 2 3 < / i n t > < / v a l u e > < / i t e m > < i t e m > < k e y > < s t r i n g > N e o   I n t   C a r e   o c c < / s t r i n g > < / k e y > < v a l u e > < i n t > 2 4 < / i n t > < / v a l u e > < / i t e m > < i t e m > < k e y > < s t r i n g > A m b   a r r i v a l s < / s t r i n g > < / k e y > < v a l u e > < i n t > 2 5 < / i n t > < / v a l u e > < / i t e m > < i t e m > < k e y > < s t r i n g > A m b   d e l a y s   3 0 - 6 0   m i n s < / s t r i n g > < / k e y > < v a l u e > < i n t > 2 6 < / i n t > < / v a l u e > < / i t e m > < i t e m > < k e y > < s t r i n g > A m b   d e l a y s   o v e r   6 0   m i n s < / s t r i n g > < / k e y > < v a l u e > < i n t > 2 7 < / i n t > < / v a l u e > < / i t e m > < i t e m > < k e y > < s t r i n g > B e d s   o c c   o v e r   1 4   d a y s < / s t r i n g > < / k e y > < v a l u e > < i n t > 2 8 < / 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P o w e r P i v o t V e r s i o n " > < C u s t o m C o n t e n t > < ! [ C D A T A [ 2 0 1 5 . 1 3 0 . 1 6 0 5 . 1 9 9 ] ] > < / C u s t o m C o n t e n t > < / G e m i n i > 
</file>

<file path=customXml/item3.xml>��< ? x m l   v e r s i o n = " 1 . 0 "   e n c o d i n g = " U T F - 1 6 " ? > < G e m i n i   x m l n s = " h t t p : / / g e m i n i / p i v o t c u s t o m i z a t i o n / 9 e e 8 7 0 5 f - 7 4 2 d - 4 3 e 2 - b 9 a d - e 7 b 8 f 3 1 3 e 3 7 6 " > < C u s t o m C o n t e n t > < ! [ C D A T A [ < ? x m l   v e r s i o n = " 1 . 0 "   e n c o d i n g = " u t f - 1 6 " ? > < S e t t i n g s > < H S l i c e r s S h a p e > 0 ; 0 ; 0 ; 0 < / H S l i c e r s S h a p e > < V S l i c e r s S h a p e > 0 ; 0 ; 0 ; 0 < / V S l i c e r s S h a p e > < S l i c e r S h e e t N a m e > G & a m p ; A   b e d   o c c . < / S l i c e r S h e e t N a m e > < S A H o s t H a s h > 1 2 1 3 6 9 3 0 9 6 < / S A H o s t H a s h > < G e m i n i F i e l d L i s t V i s i b l e > F a l s e < / G e m i n i F i e l d L i s t V i s i b l e > < / S e t t i n g s > ] ] > < / C u s t o m C o n t e n t > < / G e m i n i > 
</file>

<file path=customXml/item30.xml>��< ? x m l   v e r s i o n = " 1 . 0 "   e n c o d i n g = " U T F - 1 6 " ? > < G e m i n i   x m l n s = " h t t p : / / g e m i n i / p i v o t c u s t o m i z a t i o n / e a f 9 b 4 0 0 - a 2 b d - 4 3 d 0 - 8 b a 9 - 4 b d 3 d 8 b 1 e 3 c 8 " > < C u s t o m C o n t e n t > < ! [ C D A T A [ < ? x m l   v e r s i o n = " 1 . 0 "   e n c o d i n g = " u t f - 1 6 " ? > < S e t t i n g s > < C a l c u l a t e d F i e l d s > < i t e m > < M e a s u r e N a m e > S u m   o f   A m b   d e l a y s   3 0 - 6 0   m i n s < / M e a s u r e N a m e > < D i s p l a y N a m e > 3 0 - 6 0   m i n s < / D i s p l a y N a m e > < V i s i b l e > T r u e < / V i s i b l e > < / i t e m > < i t e m > < M e a s u r e N a m e > S u m   o f   A m b   d e l a y s   o v e r   6 0   m i n s < / M e a s u r e N a m e > < D i s p l a y N a m e > o v e r   6 0   m i n s < / D i s p l a y N a m e > < V i s i b l e > T r u e < / V i s i b l e > < / i t e m > < i t e m > < M e a s u r e N a m e > S u m   o f   A m b   a r r i v a l s < / M e a s u r e N a m e > < D i s p l a y N a m e > S u m   o f   A m b   a r r i v a l s < / D i s p l a y N a m e > < V i s i b l e > T r u e < / V i s i b l e > < / i t e m > < / C a l c u l a t e d F i e l d s > < H S l i c e r s S h a p e > 0 ; 0 ; 0 ; 0 < / H S l i c e r s S h a p e > < V S l i c e r s S h a p e > 0 ; 0 ; 0 ; 0 < / V S l i c e r s S h a p e > < S l i c e r S h e e t N a m e > A m b u l a n c e < / S l i c e r S h e e t N a m e > < S A H o s t H a s h > 1 6 2 5 7 5 8 2 0 0 < / S A H o s t H a s h > < G e m i n i F i e l d L i s t V i s i b l e > F a l s e < / G e m i n i F i e l d L i s t V i s i b l e > < / S e t t i n g s > ] ] > < / C u s t o m C o n t e n t > < / G e m i n i > 
</file>

<file path=customXml/item31.xml>��< ? x m l   v e r s i o n = " 1 . 0 "   e n c o d i n g = " U T F - 1 6 " ? > < G e m i n i   x m l n s = " h t t p : / / g e m i n i / p i v o t c u s t o m i z a t i o n / M a n u a l C a l c M o d e " > < C u s t o m C o n t e n t > < ! [ C D A T A [ F a l s e ] ] > < / C u s t o m C o n t e n t > < / G e m i n i > 
</file>

<file path=customXml/item32.xml>��< ? x m l   v e r s i o n = " 1 . 0 "   e n c o d i n g = " U T F - 1 6 " ? > < G e m i n i   x m l n s = " h t t p : / / g e m i n i / p i v o t c u s t o m i z a t i o n / e 4 f 2 c 4 7 2 - a 1 4 6 - 4 e e 5 - b e 4 9 - 5 2 8 7 0 8 8 b 7 2 0 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 1 7 4 5 2 4 5 8 0 8 < / S A H o s t H a s h > < G e m i n i F i e l d L i s t V i s i b l e > F a l s e < / G e m i n i F i e l d L i s t V i s i b l e > < / S e t t i n g s > ] ] > < / C u s t o m C o n t e n t > < / G e m i n i > 
</file>

<file path=customXml/item33.xml>��< ? x m l   v e r s i o n = " 1 . 0 "   e n c o d i n g = " U T F - 1 6 " ? > < G e m i n i   x m l n s = " h t t p : / / g e m i n i / p i v o t c u s t o m i z a t i o n / b 9 5 7 5 0 1 2 - 0 5 e f - 4 6 3 2 - b e d e - b 8 7 d 0 5 a 4 d 4 8 9 " > < 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S A H o s t H a s h > 0 < / S A H o s t H a s h > < G e m i n i F i e l d L i s t V i s i b l e > T r u e < / G e m i n i F i e l d L i s t V i s i b l e > < / S e t t i n g s > ] ] > < / C u s t o m C o n t e n t > < / G e m i n i > 
</file>

<file path=customXml/item34.xml>��< ? x m l   v e r s i o n = " 1 . 0 "   e n c o d i n g = " U T F - 1 6 " ? > < G e m i n i   x m l n s = " h t t p : / / g e m i n i / p i v o t c u s t o m i z a t i o n / 5 b 1 1 5 f 7 2 - c b 9 1 - 4 2 b 2 - 9 a 3 1 - 5 2 d 9 5 5 8 f 7 5 f 3 " > < C u s t o m C o n t e n t > < ! [ C D A T A [ < ? x m l   v e r s i o n = " 1 . 0 "   e n c o d i n g = " u t f - 1 6 " ? > < S e t t i n g s > < H S l i c e r s S h a p e > 0 ; 0 ; 0 ; 0 < / H S l i c e r s S h a p e > < V S l i c e r s S h a p e > 0 ; 0 ; 0 ; 0 < / V S l i c e r s S h a p e > < S l i c e r S h e e t N a m e > G & a m p ; A   b e d s < / S l i c e r S h e e t N a m e > < S A H o s t H a s h > 6 7 9 0 1 9 0 8 2 < / S A H o s t H a s h > < G e m i n i F i e l d L i s t V i s i b l e > T r u e < / G e m i n i F i e l d L i s t V i s i b l e > < / S e t t i n g s > ] ] > < / C u s t o m C o n t e n t > < / G e m i n i > 
</file>

<file path=customXml/item35.xml>��< ? x m l   v e r s i o n = " 1 . 0 "   e n c o d i n g = " U T F - 1 6 " ? > < G e m i n i   x m l n s = " h t t p : / / g e m i n i / p i v o t c u s t o m i z a t i o n / 7 0 9 0 7 d c b - 9 d b 8 - 4 6 1 7 - 8 7 8 4 - 4 3 e 1 8 3 8 5 9 5 3 c " > < C u s t o m C o n t e n t > < ! [ C D A T A [ < ? x m l   v e r s i o n = " 1 . 0 "   e n c o d i n g = " u t f - 1 6 " ? > < S e t t i n g s > < C a l c u l a t e d F i e l d s > < i t e m > < M e a s u r e N a m e > S u m   o f   A E   d i v e r t s < / M e a s u r e N a m e > < D i s p l a y N a m e > S u m   o f   A E   d i v e r t s < / D i s p l a y N a m e > < V i s i b l e > T r u e < / V i s i b l e > < / i t e m > < / C a l c u l a t e d F i e l d s > < S A H o s t H a s h > 0 < / S A H o s t H a s h > < G e m i n i F i e l d L i s t V i s i b l e > T r u e < / G e m i n i F i e l d L i s t V i s i b l e > < / S e t t i n g s > ] ] > < / C u s t o m C o n t e n t > < / G e m i n i > 
</file>

<file path=customXml/item36.xml>��< ? x m l   v e r s i o n = " 1 . 0 "   e n c o d i n g = " U T F - 1 6 " ? > < G e m i n i   x m l n s = " h t t p : / / g e m i n i / p i v o t c u s t o m i z a t i o n / a 1 b 5 b d 0 c - f 0 f f - 4 3 a 7 - a 4 2 c - 2 4 b b f 7 1 d c 7 e a " > < 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 9 8 4 2 1 3 5 2 5 < / S A H o s t H a s h > < G e m i n i F i e l d L i s t V i s i b l e > T r u e < / G e m i n i F i e l d L i s t V i s i b l e > < / S e t t i n g s > ] ] > < / C u s t o m C o n t e n t > < / G e m i n i > 
</file>

<file path=customXml/item37.xml>��< ? x m l   v e r s i o n = " 1 . 0 "   e n c o d i n g = " U T F - 1 6 " ? > < G e m i n i   x m l n s = " h t t p : / / g e m i n i / p i v o t c u s t o m i z a t i o n / a 3 5 2 a a 7 b - 4 6 c 6 - 4 6 3 0 - a 5 0 5 - e 6 5 d d 9 6 5 d 2 5 a " > < 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S A H o s t H a s h > 0 < / S A H o s t H a s h > < G e m i n i F i e l d L i s t V i s i b l e > T r u e < / G e m i n i F i e l d L i s t V i s i b l e > < / S e t t i n g s > ] ] > < / C u s t o m C o n t e n t > < / G e m i n i > 
</file>

<file path=customXml/item38.xml>��< ? x m l   v e r s i o n = " 1 . 0 "   e n c o d i n g = " U T F - 1 6 " ? > < G e m i n i   x m l n s = " h t t p : / / g e m i n i / p i v o t c u s t o m i z a t i o n / 9 7 b 7 7 5 4 3 - 1 b 1 d - 4 3 2 f - 8 c 1 2 - 8 6 d 5 d 6 1 2 6 7 b b " > < C u s t o m C o n t e n t > < ! [ C D A T A [ < ? x m l   v e r s i o n = " 1 . 0 "   e n c o d i n g = " u t f - 1 6 " ? > < S e t t i n g s > < C a l c u l a t e d F i e l d s > < i t e m > < M e a s u r e N a m e > S u m   o f   B e d s   c l o s e d   n o r o v i r u s < / M e a s u r e N a m e > < D i s p l a y N a m e > S u m   o f   B e d s   c l o s e d   n o r o v i r u s < / D i s p l a y N a m e > < V i s i b l e > T r u e < / V i s i b l e > < / i t e m > < / C a l c u l a t e d F i e l d s > < S A H o s t H a s h > 0 < / S A H o s t H a s h > < G e m i n i F i e l d L i s t V i s i b l e > T r u e < / G e m i n i F i e l d L i s t V i s i b l e > < / S e t t i n g s > ] ] > < / C u s t o m C o n t e n t > < / G e m i n i > 
</file>

<file path=customXml/item39.xml>��< ? x m l   v e r s i o n = " 1 . 0 "   e n c o d i n g = " U T F - 1 6 " ? > < G e m i n i   x m l n s = " h t t p : / / g e m i n i / p i v o t c u s t o m i z a t i o n / e 4 c 6 a 3 1 b - 3 4 7 2 - 4 b 1 b - a 7 6 c - e a e 1 d 3 5 7 c 6 b c " > < C u s t o m C o n t e n t > < ! [ C D A T A [ < ? x m l   v e r s i o n = " 1 . 0 "   e n c o d i n g = " u t f - 1 6 " ? > < S e t t i n g s > < C a l c u l a t e d F i e l d s > < i t e m > < M e a s u r e N a m e > S u m   o f   B e d s   o c c   o v e r   1 4   d a y s   2 < / M e a s u r e N a m e > < D i s p l a y N a m e > S u m   o f   B e d s   o c c   o v e r   1 4   d a y s   2 < / D i s p l a y N a m e > < V i s i b l e > T r u e < / V i s i b l e > < / i t e m > < / C a l c u l a t e d F i e l d s > < H S l i c e r s S h a p e > 0 ; 0 ; 0 ; 0 < / H S l i c e r s S h a p e > < V S l i c e r s S h a p e > 0 ; 0 ; 0 ; 0 < / V S l i c e r s S h a p e > < S l i c e r S h e e t N a m e > S h e e t 4 < / S l i c e r S h e e t N a m e > < S A H o s t H a s h > 1 2 5 6 9 5 6 3 5 < / S A H o s t H a s h > < G e m i n i F i e l d L i s t V i s i b l e > F a l s e < / G e m i n i F i e l d L i s t V i s i b l e > < / S e t t i n g s > ] ] > < / C u s t o m C o n t e n t > < / G e m i n i > 
</file>

<file path=customXml/item4.xml>��< ? x m l   v e r s i o n = " 1 . 0 "   e n c o d i n g = " U T F - 1 6 " ? > < G e m i n i   x m l n s = " h t t p : / / g e m i n i / p i v o t c u s t o m i z a t i o n / c b 8 3 e 9 5 3 - d 3 a 9 - 4 4 3 3 - 8 4 e 3 - 8 6 f 1 3 2 0 8 4 5 4 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 2 0 4 1 8 9 9 5 2 < / S A H o s t H a s h > < G e m i n i F i e l d L i s t V i s i b l e > F a l s e < / G e m i n i F i e l d L i s t V i s i b l e > < / S e t t i n g s > ] ] > < / C u s t o m C o n t e n t > < / G e m i n i > 
</file>

<file path=customXml/item40.xml>��< ? x m l   v e r s i o n = " 1 . 0 "   e n c o d i n g = " U T F - 1 6 " ? > < G e m i n i   x m l n s = " h t t p : / / g e m i n i / p i v o t c u s t o m i z a t i o n / 3 3 6 8 9 7 8 5 - b 6 5 f - 4 d 0 9 - 8 f 6 9 - 7 0 3 8 3 e f 1 8 8 d 2 " > < 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S A H o s t H a s h > 0 < / S A H o s t H a s h > < G e m i n i F i e l d L i s t V i s i b l e > T r u e < / G e m i n i F i e l d L i s t V i s i b l e > < / S e t t i n g s > ] ] > < / C u s t o m C o n t e n t > < / G e m i n i > 
</file>

<file path=customXml/item41.xml>��< ? x m l   v e r s i o n = " 1 . 0 "   e n c o d i n g = " U T F - 1 6 " ? > < G e m i n i   x m l n s = " h t t p : / / g e m i n i / p i v o t c u s t o m i z a t i o n / a 9 a f c b 0 6 - c f 4 7 - 4 2 c 4 - 8 4 c f - 8 6 9 5 c 1 3 3 0 1 5 2 " > < 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 9 1 6 4 2 9 3 7 9 < / S A H o s t H a s h > < G e m i n i F i e l d L i s t V i s i b l e > F a l s e < / G e m i n i F i e l d L i s t V i s i b l e > < / S e t t i n g s > ] ] > < / C u s t o m C o n t e n t > < / G e m i n i > 
</file>

<file path=customXml/item42.xml>��< ? x m l   v e r s i o n = " 1 . 0 "   e n c o d i n g = " U T F - 1 6 " ? > < G e m i n i   x m l n s = " h t t p : / / g e m i n i / p i v o t c u s t o m i z a t i o n / f 1 c 6 0 2 a d - 3 3 3 d - 4 d 3 a - b 1 c c - e e 3 0 1 9 4 1 3 7 6 f " > < C u s t o m C o n t e n t > < ! [ C D A T A [ < ? x m l   v e r s i o n = " 1 . 0 "   e n c o d i n g = " u t f - 1 6 " ? > < S e t t i n g s > < H S l i c e r s S h a p e > 0 ; 0 ; 0 ; 0 < / H S l i c e r s S h a p e > < V S l i c e r s S h a p e > 0 ; 0 ; 0 ; 0 < / V S l i c e r s S h a p e > < S l i c e r S h e e t N a m e > S h e e t 3 < / S l i c e r S h e e t N a m e > < S A H o s t H a s h > 6 6 3 1 4 7 3 8 0 < / S A H o s t H a s h > < G e m i n i F i e l d L i s t V i s i b l e > T r u e < / G e m i n i F i e l d L i s t V i s i b l e > < / S e t t i n g s > ] ] > < / C u s t o m C o n t e n t > < / G e m i n i > 
</file>

<file path=customXml/item43.xml>��< ? x m l   v e r s i o n = " 1 . 0 "   e n c o d i n g = " U T F - 1 6 " ? > < G e m i n i   x m l n s = " h t t p : / / g e m i n i / p i v o t c u s t o m i z a t i o n / R e l a t i o n s h i p A u t o D e t e c t i o n E n a b l e d " > < C u s t o m C o n t e n t > < ! [ C D A T A [ T r u e ] ] > < / C u s t o m C o n t e n t > < / G e m i n i > 
</file>

<file path=customXml/item4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 W i n t e r   b e d   o c c   o v e r   1 4   d a y s 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 W i n t e r   b e d   o c c   o v e r   1 4   d a y s 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 C o l u m n s \ C o d e < / 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 C o l u m n s \ W e e k < / K e y > < / a : K e y > < a : V a l u e   i : t y p e = " T a b l e W i d g e t B a s e V i e w S t a t e " / > < / a : K e y V a l u e O f D i a g r a m O b j e c t K e y a n y T y p e z b w N T n L X > < a : K e y V a l u e O f D i a g r a m O b j e c t K e y a n y T y p e z b w N T n L X > < a : K e y > < K e y > C o l u m n s \ D a y < / K e y > < / a : K e y > < a : V a l u e   i : t y p e = " T a b l e W i d g e t B a s e V i e w S t a t e " / > < / a : K e y V a l u e O f D i a g r a m O b j e c t K e y a n y T y p e z b w N T n L X > < a : K e y V a l u e O f D i a g r a m O b j e c t K e y a n y T y p e z b w N T n L X > < a : K e y > < K e y > C o l u m n s \ W e e k e n d < / K e y > < / a : K e y > < a : V a l u e   i : t y p e = " T a b l e W i d g e t B a s e V i e w S t a t e " / > < / a : K e y V a l u e O f D i a g r a m O b j e c t K e y a n y T y p e z b w N T n L X > < a : K e y V a l u e O f D i a g r a m O b j e c t K e y a n y T y p e z b w N T n L X > < a : K e y > < K e y > C o l u m n s \ B a n k   h o l i d a y < / K e y > < / a : K e y > < a : V a l u e   i : t y p e = " T a b l e W i d g e t B a s e V i e w S t a t e " / > < / a : K e y V a l u e O f D i a g r a m O b j e c t K e y a n y T y p e z b w N T n L X > < a : K e y V a l u e O f D i a g r a m O b j e c t K e y a n y T y p e z b w N T n L X > < a : K e y > < K e y > C o l u m n s \ A   E   c l o s u r e s < / K e y > < / a : K e y > < a : V a l u e   i : t y p e = " T a b l e W i d g e t B a s e V i e w S t a t e " / > < / a : K e y V a l u e O f D i a g r a m O b j e c t K e y a n y T y p e z b w N T n L X > < a : K e y V a l u e O f D i a g r a m O b j e c t K e y a n y T y p e z b w N T n L X > < a : K e y > < K e y > C o l u m n s \ A   E   d i v e r t s < / K e y > < / a : K e y > < a : V a l u e   i : t y p e = " T a b l e W i d g e t B a s e V i e w S t a t e " / > < / a : K e y V a l u e O f D i a g r a m O b j e c t K e y a n y T y p e z b w N T n L X > < a : K e y V a l u e O f D i a g r a m O b j e c t K e y a n y T y p e z b w N T n L X > < a : K e y > < K e y > C o l u m n s \ G   A   c o r e   b e d s   a v a i l < / K e y > < / a : K e y > < a : V a l u e   i : t y p e = " T a b l e W i d g e t B a s e V i e w S t a t e " / > < / a : K e y V a l u e O f D i a g r a m O b j e c t K e y a n y T y p e z b w N T n L X > < a : K e y V a l u e O f D i a g r a m O b j e c t K e y a n y T y p e z b w N T n L X > < a : K e y > < K e y > C o l u m n s \ G   A   e s c a l a t i o n   b e d s   a v a i l < / K e y > < / a : K e y > < a : V a l u e   i : t y p e = " T a b l e W i d g e t B a s e V i e w S t a t e " / > < / a : K e y V a l u e O f D i a g r a m O b j e c t K e y a n y T y p e z b w N T n L X > < a : K e y V a l u e O f D i a g r a m O b j e c t K e y a n y T y p e z b w N T n L X > < a : K e y > < K e y > C o l u m n s \ G   A   t o t a l   b e d s   a v a i l < / K e y > < / a : K e y > < a : V a l u e   i : t y p e = " T a b l e W i d g e t B a s e V i e w S t a t e " / > < / a : K e y V a l u e O f D i a g r a m O b j e c t K e y a n y T y p e z b w N T n L X > < a : K e y V a l u e O f D i a g r a m O b j e c t K e y a n y T y p e z b w N T n L X > < a : K e y > < K e y > C o l u m n s \ G   A   t o t a l   b e d s   o c c u p i e d < / K e y > < / a : K e y > < a : V a l u e   i : t y p e = " T a b l e W i d g e t B a s e V i e w S t a t e " / > < / a : K e y V a l u e O f D i a g r a m O b j e c t K e y a n y T y p e z b w N T n L X > < a : K e y V a l u e O f D i a g r a m O b j e c t K e y a n y T y p e z b w N T n L X > < a : K e y > < K e y > C o l u m n s \ B e d s   o c c   o v e r   7   d a y s < / K e y > < / a : K e y > < a : V a l u e   i : t y p e = " T a b l e W i d g e t B a s e V i e w S t a t e " / > < / a : K e y V a l u e O f D i a g r a m O b j e c t K e y a n y T y p e z b w N T n L X > < a : K e y V a l u e O f D i a g r a m O b j e c t K e y a n y T y p e z b w N T n L X > < a : K e y > < K e y > C o l u m n s \ B e d s   o c c   o v e r   2 1   d a y s < / K e y > < / a : K e y > < a : V a l u e   i : t y p e = " T a b l e W i d g e t B a s e V i e w S t a t e " / > < / a : K e y V a l u e O f D i a g r a m O b j e c t K e y a n y T y p e z b w N T n L X > < a : K e y V a l u e O f D i a g r a m O b j e c t K e y a n y T y p e z b w N T n L X > < a : K e y > < K e y > C o l u m n s \ B e d s   c l o s e d   n o r o v i r u s < / K e y > < / a : K e y > < a : V a l u e   i : t y p e = " T a b l e W i d g e t B a s e V i e w S t a t e " / > < / a : K e y V a l u e O f D i a g r a m O b j e c t K e y a n y T y p e z b w N T n L X > < a : K e y V a l u e O f D i a g r a m O b j e c t K e y a n y T y p e z b w N T n L X > < a : K e y > < K e y > C o l u m n s \ B e d s   c l o s e d   n o r o v i u s   u n o c c < / K e y > < / a : K e y > < a : V a l u e   i : t y p e = " T a b l e W i d g e t B a s e V i e w S t a t e " / > < / a : K e y V a l u e O f D i a g r a m O b j e c t K e y a n y T y p e z b w N T n L X > < a : K e y V a l u e O f D i a g r a m O b j e c t K e y a n y T y p e z b w N T n L X > < a : K e y > < K e y > C o l u m n s \ A d u l t   C C   b e d s   a v a i l < / K e y > < / a : K e y > < a : V a l u e   i : t y p e = " T a b l e W i d g e t B a s e V i e w S t a t e " / > < / a : K e y V a l u e O f D i a g r a m O b j e c t K e y a n y T y p e z b w N T n L X > < a : K e y V a l u e O f D i a g r a m O b j e c t K e y a n y T y p e z b w N T n L X > < a : K e y > < K e y > C o l u m n s \ A d u l t   C C   b e d s   o c c < / K e y > < / a : K e y > < a : V a l u e   i : t y p e = " T a b l e W i d g e t B a s e V i e w S t a t e " / > < / a : K e y V a l u e O f D i a g r a m O b j e c t K e y a n y T y p e z b w N T n L X > < a : K e y V a l u e O f D i a g r a m O b j e c t K e y a n y T y p e z b w N T n L X > < a : K e y > < K e y > C o l u m n s \ P a e d   I n t   C a r e   A v a i l < / K e y > < / a : K e y > < a : V a l u e   i : t y p e = " T a b l e W i d g e t B a s e V i e w S t a t e " / > < / a : K e y V a l u e O f D i a g r a m O b j e c t K e y a n y T y p e z b w N T n L X > < a : K e y V a l u e O f D i a g r a m O b j e c t K e y a n y T y p e z b w N T n L X > < a : K e y > < K e y > C o l u m n s \ P a e d   I n t   C a r e   O c c < / K e y > < / a : K e y > < a : V a l u e   i : t y p e = " T a b l e W i d g e t B a s e V i e w S t a t e " / > < / a : K e y V a l u e O f D i a g r a m O b j e c t K e y a n y T y p e z b w N T n L X > < a : K e y V a l u e O f D i a g r a m O b j e c t K e y a n y T y p e z b w N T n L X > < a : K e y > < K e y > C o l u m n s \ N e o   I n t   C a r e   A v a i l < / K e y > < / a : K e y > < a : V a l u e   i : t y p e = " T a b l e W i d g e t B a s e V i e w S t a t e " / > < / a : K e y V a l u e O f D i a g r a m O b j e c t K e y a n y T y p e z b w N T n L X > < a : K e y V a l u e O f D i a g r a m O b j e c t K e y a n y T y p e z b w N T n L X > < a : K e y > < K e y > C o l u m n s \ N e o   I n t   C a r e   o c c < / K e y > < / a : K e y > < a : V a l u e   i : t y p e = " T a b l e W i d g e t B a s e V i e w S t a t e " / > < / a : K e y V a l u e O f D i a g r a m O b j e c t K e y a n y T y p e z b w N T n L X > < a : K e y V a l u e O f D i a g r a m O b j e c t K e y a n y T y p e z b w N T n L X > < a : K e y > < K e y > C o l u m n s \ A m b   a r r i v a l s < / K e y > < / a : K e y > < a : V a l u e   i : t y p e = " T a b l e W i d g e t B a s e V i e w S t a t e " / > < / a : K e y V a l u e O f D i a g r a m O b j e c t K e y a n y T y p e z b w N T n L X > < a : K e y V a l u e O f D i a g r a m O b j e c t K e y a n y T y p e z b w N T n L X > < a : K e y > < K e y > C o l u m n s \ A m b   d e l a y s   3 0 - 6 0   m i n s < / K e y > < / a : K e y > < a : V a l u e   i : t y p e = " T a b l e W i d g e t B a s e V i e w S t a t e " / > < / a : K e y V a l u e O f D i a g r a m O b j e c t K e y a n y T y p e z b w N T n L X > < a : K e y V a l u e O f D i a g r a m O b j e c t K e y a n y T y p e z b w N T n L X > < a : K e y > < K e y > C o l u m n s \ A m b   d e l a y s   o v e r   6 0   m i n s < / K e y > < / a : K e y > < a : V a l u e   i : t y p e = " T a b l e W i d g e t B a s e V i e w S t a t e " / > < / a : K e y V a l u e O f D i a g r a m O b j e c t K e y a n y T y p e z b w N T n L X > < a : K e y V a l u e O f D i a g r a m O b j e c t K e y a n y T y p e z b w N T n L X > < a : K e y > < K e y > C o l u m n s \ B e d s   o c c   o v e r   1 4   d a y s 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 W i n t e r   d a i l y   s i t r e p s 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 W i n t e r   d a i l y   s i t r e p s 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 C o l u m n s \ c r i _ i d < / K e y > < / a : K e y > < a : V a l u e   i : t y p e = " T a b l e W i d g e t B a s e V i e w S t a t e " / > < / a : K e y V a l u e O f D i a g r a m O b j e c t K e y a n y T y p e z b w N T n L X > < a : K e y V a l u e O f D i a g r a m O b j e c t K e y a n y T y p e z b w N T n L X > < a : K e y > < K e y > C o l u m n s \ d r _ i d < / K e y > < / a : K e y > < a : V a l u e   i : t y p e = " T a b l e W i d g e t B a s e V i e w S t a t e " / > < / a : K e y V a l u e O f D i a g r a m O b j e c t K e y a n y T y p e z b w N T n L X > < a : K e y V a l u e O f D i a g r a m O b j e c t K e y a n y T y p e z b w N T n L X > < a : K e y > < K e y > C o l u m n s \ o r g _ i d < / K e y > < / a : K e y > < a : V a l u e   i : t y p e = " T a b l e W i d g e t B a s e V i e w S t a t e " / > < / a : K e y V a l u e O f D i a g r a m O b j e c t K e y a n y T y p e z b w N T n L X > < a : K e y V a l u e O f D i a g r a m O b j e c t K e y a n y T y p e z b w N T n L X > < a : K e y > < K e y > C o l u m n s \ c r i _ d a t a p e r i o d s t a r t < / K e y > < / a : K e y > < a : V a l u e   i : t y p e = " T a b l e W i d g e t B a s e V i e w S t a t e " / > < / a : K e y V a l u e O f D i a g r a m O b j e c t K e y a n y T y p e z b w N T n L X > < a : K e y V a l u e O f D i a g r a m O b j e c t K e y a n y T y p e z b w N T n L X > < a : K e y > < K e y > C o l u m n s \ C o d e < / 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 C o l u m n s \ W e e k < / K e y > < / a : K e y > < a : V a l u e   i : t y p e = " T a b l e W i d g e t B a s e V i e w S t a t e " / > < / a : K e y V a l u e O f D i a g r a m O b j e c t K e y a n y T y p e z b w N T n L X > < a : K e y V a l u e O f D i a g r a m O b j e c t K e y a n y T y p e z b w N T n L X > < a : K e y > < K e y > C o l u m n s \ D a y < / K e y > < / a : K e y > < a : V a l u e   i : t y p e = " T a b l e W i d g e t B a s e V i e w S t a t e " / > < / a : K e y V a l u e O f D i a g r a m O b j e c t K e y a n y T y p e z b w N T n L X > < a : K e y V a l u e O f D i a g r a m O b j e c t K e y a n y T y p e z b w N T n L X > < a : K e y > < K e y > C o l u m n s \ B a n k   h o l i d a y < / K e y > < / a : K e y > < a : V a l u e   i : t y p e = " T a b l e W i d g e t B a s e V i e w S t a t e " / > < / a : K e y V a l u e O f D i a g r a m O b j e c t K e y a n y T y p e z b w N T n L X > < a : K e y V a l u e O f D i a g r a m O b j e c t K e y a n y T y p e z b w N T n L X > < a : K e y > < K e y > C o l u m n s \ A E   c l o s u r e s < / K e y > < / a : K e y > < a : V a l u e   i : t y p e = " T a b l e W i d g e t B a s e V i e w S t a t e " / > < / a : K e y V a l u e O f D i a g r a m O b j e c t K e y a n y T y p e z b w N T n L X > < a : K e y V a l u e O f D i a g r a m O b j e c t K e y a n y T y p e z b w N T n L X > < a : K e y > < K e y > C o l u m n s \ A E   d i v e r t s < / K e y > < / a : K e y > < a : V a l u e   i : t y p e = " T a b l e W i d g e t B a s e V i e w S t a t e " / > < / a : K e y V a l u e O f D i a g r a m O b j e c t K e y a n y T y p e z b w N T n L X > < a : K e y V a l u e O f D i a g r a m O b j e c t K e y a n y T y p e z b w N T n L X > < a : K e y > < K e y > C o l u m n s \ A E   t y p e   1   a t t e n d a n c e s < / K e y > < / a : K e y > < a : V a l u e   i : t y p e = " T a b l e W i d g e t B a s e V i e w S t a t e " / > < / a : K e y V a l u e O f D i a g r a m O b j e c t K e y a n y T y p e z b w N T n L X > < a : K e y V a l u e O f D i a g r a m O b j e c t K e y a n y T y p e z b w N T n L X > < a : K e y > < K e y > C o l u m n s \ A E   t y p e   2   a t t e n d a n c e s < / K e y > < / a : K e y > < a : V a l u e   i : t y p e = " T a b l e W i d g e t B a s e V i e w S t a t e " / > < / a : K e y V a l u e O f D i a g r a m O b j e c t K e y a n y T y p e z b w N T n L X > < a : K e y V a l u e O f D i a g r a m O b j e c t K e y a n y T y p e z b w N T n L X > < a : K e y > < K e y > C o l u m n s \ A E   t y p e   3   a t t e n d a n c e s < / K e y > < / a : K e y > < a : V a l u e   i : t y p e = " T a b l e W i d g e t B a s e V i e w S t a t e " / > < / a : K e y V a l u e O f D i a g r a m O b j e c t K e y a n y T y p e z b w N T n L X > < a : K e y V a l u e O f D i a g r a m O b j e c t K e y a n y T y p e z b w N T n L X > < a : K e y > < K e y > C o l u m n s \ A E   t o t a l   a t t e n d a n c e s < / K e y > < / a : K e y > < a : V a l u e   i : t y p e = " T a b l e W i d g e t B a s e V i e w S t a t e " / > < / a : K e y V a l u e O f D i a g r a m O b j e c t K e y a n y T y p e z b w N T n L X > < a : K e y V a l u e O f D i a g r a m O b j e c t K e y a n y T y p e z b w N T n L X > < a : K e y > < K e y > C o l u m n s \ E m e r g e n c y   a d m i s s i o n s < / K e y > < / a : K e y > < a : V a l u e   i : t y p e = " T a b l e W i d g e t B a s e V i e w S t a t e " / > < / a : K e y V a l u e O f D i a g r a m O b j e c t K e y a n y T y p e z b w N T n L X > < a : K e y V a l u e O f D i a g r a m O b j e c t K e y a n y T y p e z b w N T n L X > < a : K e y > < K e y > C o l u m n s \ G A   c o r e   b e d s   a v a i l < / K e y > < / a : K e y > < a : V a l u e   i : t y p e = " T a b l e W i d g e t B a s e V i e w S t a t e " / > < / a : K e y V a l u e O f D i a g r a m O b j e c t K e y a n y T y p e z b w N T n L X > < a : K e y V a l u e O f D i a g r a m O b j e c t K e y a n y T y p e z b w N T n L X > < a : K e y > < K e y > C o l u m n s \ G A   e s c a l a t i o n   b e d s   a v a i l < / K e y > < / a : K e y > < a : V a l u e   i : t y p e = " T a b l e W i d g e t B a s e V i e w S t a t e " / > < / a : K e y V a l u e O f D i a g r a m O b j e c t K e y a n y T y p e z b w N T n L X > < a : K e y V a l u e O f D i a g r a m O b j e c t K e y a n y T y p e z b w N T n L X > < a : K e y > < K e y > C o l u m n s \ G A   t o t a l   b e d s   a v a i l < / K e y > < / a : K e y > < a : V a l u e   i : t y p e = " T a b l e W i d g e t B a s e V i e w S t a t e " / > < / a : K e y V a l u e O f D i a g r a m O b j e c t K e y a n y T y p e z b w N T n L X > < a : K e y V a l u e O f D i a g r a m O b j e c t K e y a n y T y p e z b w N T n L X > < a : K e y > < K e y > C o l u m n s \ G A   t o t a l   b e d s   o c c u p i e d < / K e y > < / a : K e y > < a : V a l u e   i : t y p e = " T a b l e W i d g e t B a s e V i e w S t a t e " / > < / a : K e y V a l u e O f D i a g r a m O b j e c t K e y a n y T y p e z b w N T n L X > < a : K e y V a l u e O f D i a g r a m O b j e c t K e y a n y T y p e z b w N T n L X > < a : K e y > < K e y > C o l u m n s \ B e d s   c l o s e d   n o r o v i r u s < / K e y > < / a : K e y > < a : V a l u e   i : t y p e = " T a b l e W i d g e t B a s e V i e w S t a t e " / > < / a : K e y V a l u e O f D i a g r a m O b j e c t K e y a n y T y p e z b w N T n L X > < a : K e y V a l u e O f D i a g r a m O b j e c t K e y a n y T y p e z b w N T n L X > < a : K e y > < K e y > C o l u m n s \ B e d s   c l o s e d   n o r o v i u s   u n o c c < / K e y > < / a : K e y > < a : V a l u e   i : t y p e = " T a b l e W i d g e t B a s e V i e w S t a t e " / > < / a : K e y V a l u e O f D i a g r a m O b j e c t K e y a n y T y p e z b w N T n L X > < a : K e y V a l u e O f D i a g r a m O b j e c t K e y a n y T y p e z b w N T n L X > < a : K e y > < K e y > C o l u m n s \ A d u l t   C C   b e d s   a v a i l < / K e y > < / a : K e y > < a : V a l u e   i : t y p e = " T a b l e W i d g e t B a s e V i e w S t a t e " / > < / a : K e y V a l u e O f D i a g r a m O b j e c t K e y a n y T y p e z b w N T n L X > < a : K e y V a l u e O f D i a g r a m O b j e c t K e y a n y T y p e z b w N T n L X > < a : K e y > < K e y > C o l u m n s \ A d u l t   C C   b e d s   o c c < / K e y > < / a : K e y > < a : V a l u e   i : t y p e = " T a b l e W i d g e t B a s e V i e w S t a t e " / > < / a : K e y V a l u e O f D i a g r a m O b j e c t K e y a n y T y p e z b w N T n L X > < a : K e y V a l u e O f D i a g r a m O b j e c t K e y a n y T y p e z b w N T n L X > < a : K e y > < K e y > C o l u m n s \ P a e d   I n t   C a r e   A v a i l < / K e y > < / a : K e y > < a : V a l u e   i : t y p e = " T a b l e W i d g e t B a s e V i e w S t a t e " / > < / a : K e y V a l u e O f D i a g r a m O b j e c t K e y a n y T y p e z b w N T n L X > < a : K e y V a l u e O f D i a g r a m O b j e c t K e y a n y T y p e z b w N T n L X > < a : K e y > < K e y > C o l u m n s \ P a e d   I n t   C a r e   O c c < / K e y > < / a : K e y > < a : V a l u e   i : t y p e = " T a b l e W i d g e t B a s e V i e w S t a t e " / > < / a : K e y V a l u e O f D i a g r a m O b j e c t K e y a n y T y p e z b w N T n L X > < a : K e y V a l u e O f D i a g r a m O b j e c t K e y a n y T y p e z b w N T n L X > < a : K e y > < K e y > C o l u m n s \ N e o   I n t   C a r e   A v a i l < / K e y > < / a : K e y > < a : V a l u e   i : t y p e = " T a b l e W i d g e t B a s e V i e w S t a t e " / > < / a : K e y V a l u e O f D i a g r a m O b j e c t K e y a n y T y p e z b w N T n L X > < a : K e y V a l u e O f D i a g r a m O b j e c t K e y a n y T y p e z b w N T n L X > < a : K e y > < K e y > C o l u m n s \ N e o   I n t   C a r e   o c c < / K e y > < / a : K e y > < a : V a l u e   i : t y p e = " T a b l e W i d g e t B a s e V i e w S t a t e " / > < / a : K e y V a l u e O f D i a g r a m O b j e c t K e y a n y T y p e z b w N T n L X > < a : K e y V a l u e O f D i a g r a m O b j e c t K e y a n y T y p e z b w N T n L X > < a : K e y > < K e y > C o l u m n s \ O P E L   3   o r   a b o v e < / K e y > < / a : K e y > < a : V a l u e   i : t y p e = " T a b l e W i d g e t B a s e V i e w S t a t e " / > < / a : K e y V a l u e O f D i a g r a m O b j e c t K e y a n y T y p e z b w N T n L X > < a : K e y V a l u e O f D i a g r a m O b j e c t K e y a n y T y p e z b w N T n L X > < a : K e y > < K e y > C o l u m n s \ W e e k e n d < / 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 C o l u m n s \ B e d s   o c c   o v e r   7   d a y s < / K e y > < / a : K e y > < a : V a l u e   i : t y p e = " T a b l e W i d g e t B a s e V i e w S t a t e " / > < / a : K e y V a l u e O f D i a g r a m O b j e c t K e y a n y T y p e z b w N T n L X > < a : K e y V a l u e O f D i a g r a m O b j e c t K e y a n y T y p e z b w N T n L X > < a : K e y > < K e y > C o l u m n s \ B e d s   o c c   o v e r   2 1   d a y s < / K e y > < / a : K e y > < a : V a l u e   i : t y p e = " T a b l e W i d g e t B a s e V i e w S t a t e " / > < / a : K e y V a l u e O f D i a g r a m O b j e c t K e y a n y T y p e z b w N T n L X > < a : K e y V a l u e O f D i a g r a m O b j e c t K e y a n y T y p e z b w N T n L X > < a : K e y > < K e y > C o l u m n s \ A m b   a r r i v a l s < / K e y > < / a : K e y > < a : V a l u e   i : t y p e = " T a b l e W i d g e t B a s e V i e w S t a t e " / > < / a : K e y V a l u e O f D i a g r a m O b j e c t K e y a n y T y p e z b w N T n L X > < a : K e y V a l u e O f D i a g r a m O b j e c t K e y a n y T y p e z b w N T n L X > < a : K e y > < K e y > C o l u m n s \ A m b   d e l a y s   3 0 - 6 0   m i n s < / K e y > < / a : K e y > < a : V a l u e   i : t y p e = " T a b l e W i d g e t B a s e V i e w S t a t e " / > < / a : K e y V a l u e O f D i a g r a m O b j e c t K e y a n y T y p e z b w N T n L X > < a : K e y V a l u e O f D i a g r a m O b j e c t K e y a n y T y p e z b w N T n L X > < a : K e y > < K e y > C o l u m n s \ A m b   d e l a y s   o v e r   6 0   m i n s < / K e y > < / a : K e y > < a : V a l u e   i : t y p e = " T a b l e W i d g e t B a s e V i e w S t a t e " / > < / a : K e y V a l u e O f D i a g r a m O b j e c t K e y a n y T y p e z b w N T n L X > < a : K e y V a l u e O f D i a g r a m O b j e c t K e y a n y T y p e z b w N T n L X > < a : K e y > < K e y > C o l u m n s \ W e e k   l o n g < / K e y > < / a : K e y > < a : V a l u e   i : t y p e = " T a b l e W i d g e t B a s e V i e w S t a t e " / > < / a : K e y V a l u e O f D i a g r a m O b j e c t K e y a n y T y p e z b w N T n L X > < a : K e y V a l u e O f D i a g r a m O b j e c t K e y a n y T y p e z b w N T n L X > < a : K e y > < K e y > C o l u m n s \ G A   b e d   o c c u p a n c y < / K e y > < / a : K e y > < a : V a l u e   i : t y p e = " T a b l e W i d g e t B a s e V i e w S t a t e " / > < / a : K e y V a l u e O f D i a g r a m O b j e c t K e y a n y T y p e z b w N T n L X > < a : K e y V a l u e O f D i a g r a m O b j e c t K e y a n y T y p e z b w N T n L X > < a : K e y > < K e y > C o l u m n s \ B e d s   o c c   o v e r   1 4   d a y s < / 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45.xml>��< ? x m l   v e r s i o n = " 1 . 0 "   e n c o d i n g = " U T F - 1 6 " ? > < G e m i n i   x m l n s = " h t t p : / / g e m i n i / p i v o t c u s t o m i z a t i o n / c 1 f 4 5 b 2 7 - 5 3 7 7 - 4 b 8 5 - a 5 c c - 8 3 4 7 f 8 1 f 5 2 d b " > < C u s t o m C o n t e n t > < ! [ C D A T A [ < ? x m l   v e r s i o n = " 1 . 0 "   e n c o d i n g = " u t f - 1 6 " ? > < S e t t i n g s > < C a l c u l a t e d F i e l d s > < i t e m > < M e a s u r e N a m e > S u m   o f   A E   d i v e r t s < / M e a s u r e N a m e > < D i s p l a y N a m e > S u m   o f   A E   d i v e r t s < / D i s p l a y N a m e > < V i s i b l e > T r u e < / V i s i b l e > < / i t e m > < / C a l c u l a t e d F i e l d s > < S A H o s t H a s h > 0 < / S A H o s t H a s h > < G e m i n i F i e l d L i s t V i s i b l e > T r u e < / G e m i n i F i e l d L i s t V i s i b l e > < / S e t t i n g s > ] ] > < / C u s t o m C o n t e n t > < / G e m i n i > 
</file>

<file path=customXml/item46.xml>��< ? x m l   v e r s i o n = " 1 . 0 "   e n c o d i n g = " U T F - 1 6 " ? > < G e m i n i   x m l n s = " h t t p : / / g e m i n i / p i v o t c u s t o m i z a t i o n / h t t p : / / g e m i n i / w o r k b o o k c u s t o m i z a t i o n / L i n k e d T a b l e s " > < C u s t o m C o n t e n t > < ! [ C D A T A [ < L i n k e d T a b l e s   x m l n s : x s i = " h t t p : / / w w w . w 3 . o r g / 2 0 0 1 / X M L S c h e m a - i n s t a n c e "   x m l n s : x s d = " h t t p : / / w w w . w 3 . o r g / 2 0 0 1 / X M L S c h e m a " > < L i n k e d T a b l e L i s t   / > < / L i n k e d T a b l e s > ] ] > < / C u s t o m C o n t e n t > < / G e m i n i > 
</file>

<file path=customXml/item47.xml>��< ? x m l   v e r s i o n = " 1 . 0 "   e n c o d i n g = " U T F - 1 6 " ? > < G e m i n i   x m l n s = " h t t p : / / g e m i n i / p i v o t c u s t o m i z a t i o n / a f d f 9 6 f 3 - f 6 e 1 - 4 f c 1 - 9 f b c - a e e 9 7 d b c 5 4 1 a " > < C u s t o m C o n t e n t > < ! [ C D A T A [ < ? x m l   v e r s i o n = " 1 . 0 "   e n c o d i n g = " u t f - 1 6 " ? > < S e t t i n g s > < H S l i c e r s S h a p e > 0 ; 0 ; 0 ; 0 < / H S l i c e r s S h a p e > < V S l i c e r s S h a p e > 0 ; 0 ; 0 ; 0 < / V S l i c e r s S h a p e > < S l i c e r S h e e t N a m e > G & a m p ; A   b e d   a v a i l . < / S l i c e r S h e e t N a m e > < S A H o s t H a s h > 3 1 3 7 6 2 5 7 3 < / S A H o s t H a s h > < G e m i n i F i e l d L i s t V i s i b l e > T r u e < / G e m i n i F i e l d L i s t V i s i b l e > < / S e t t i n g s > ] ] > < / C u s t o m C o n t e n t > < / G e m i n i > 
</file>

<file path=customXml/item48.xml><?xml version="1.0" encoding="utf-8"?>
<p:properties xmlns:p="http://schemas.microsoft.com/office/2006/metadata/properties" xmlns:xsi="http://www.w3.org/2001/XMLSchema-instance" xmlns:pc="http://schemas.microsoft.com/office/infopath/2007/PartnerControls">
  <documentManagement/>
</p:properties>
</file>

<file path=customXml/item49.xml>��< ? x m l   v e r s i o n = " 1 . 0 "   e n c o d i n g = " U T F - 1 6 " ? > < G e m i n i   x m l n s = " h t t p : / / g e m i n i / p i v o t c u s t o m i z a t i o n / b a 0 b 1 b 6 b - 2 5 3 c - 4 a f 3 - 8 d a 1 - 4 0 f 0 3 6 5 4 e 8 8 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S A H o s t H a s h > 0 < / S A H o s t H a s h > < G e m i n i F i e l d L i s t V i s i b l e > T r u e < / G e m i n i F i e l d L i s t V i s i b l e > < / S e t t i n g s > ] ] > < / C u s t o m C o n t e n t > < / G e m i n i > 
</file>

<file path=customXml/item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 W i n t e r   d a i l y   s i t r e p s _ 1 d f 8 1 2 b b - 9 f c 3 - 4 6 7 4 - 8 d 4 1 - 6 0 c 6 7 2 6 a 8 e f 3 < / K e y > < V a l u e   x m l n s : a = " h t t p : / / s c h e m a s . d a t a c o n t r a c t . o r g / 2 0 0 4 / 0 7 / M i c r o s o f t . A n a l y s i s S e r v i c e s . C o m m o n " > < a : H a s F o c u s > t r u e < / a : H a s F o c u s > < a : S i z e A t D p i 9 6 > 2 6 0 < / a : S i z e A t D p i 9 6 > < a : V i s i b l e > t r u e < / a : V i s i b l e > < / V a l u e > < / K e y V a l u e O f s t r i n g S a n d b o x E d i t o r . M e a s u r e G r i d S t a t e S c d E 3 5 R y > < K e y V a l u e O f s t r i n g S a n d b o x E d i t o r . M e a s u r e G r i d S t a t e S c d E 3 5 R y > < K e y > W i n t e r   b e d   o c c   o v e r   1 4   d a y s < / K e y > < V a l u e   x m l n s : a = " h t t p : / / s c h e m a s . d a t a c o n t r a c t . o r g / 2 0 0 4 / 0 7 / M i c r o s o f t . A n a l y s i s S e r v i c e s . C o m m o n " > < a : H a s F o c u s > t r u e < / a : H a s F o c u s > < a : S i z e A t D p i 9 6 > 9 6 < / a : S i z e A t D p i 9 6 > < a : V i s i b l e > t r u e < / a : V i s i b l e > < / V a l u e > < / K e y V a l u e O f s t r i n g S a n d b o x E d i t o r . M e a s u r e G r i d S t a t e S c d E 3 5 R y > < / A r r a y O f K e y V a l u e O f s t r i n g S a n d b o x E d i t o r . M e a s u r e G r i d S t a t e S c d E 3 5 R y > ] ] > < / C u s t o m C o n t e n t > < / G e m i n i > 
</file>

<file path=customXml/item50.xml>��< ? x m l   v e r s i o n = " 1 . 0 "   e n c o d i n g = " U T F - 1 6 " ? > < G e m i n i   x m l n s = " h t t p : / / g e m i n i / p i v o t c u s t o m i z a t i o n / 7 9 8 d 9 c d c - a a f 5 - 4 6 d 1 - a d d 3 - 3 3 5 d 5 5 9 7 e 4 a a " > < C u s t o m C o n t e n t > < ! [ C D A T A [ < ? x m l   v e r s i o n = " 1 . 0 "   e n c o d i n g = " u t f - 1 6 " ? > < S e t t i n g s > < H S l i c e r s S h a p e > 0 ; 0 ; 0 ; 0 < / H S l i c e r s S h a p e > < V S l i c e r s S h a p e > 0 ; 0 ; 0 ; 0 < / V S l i c e r s S h a p e > < S l i c e r S h e e t N a m e > G & a m p ; A   b e d s < / S l i c e r S h e e t N a m e > < S A H o s t H a s h > 2 0 9 2 8 6 5 4 8 < / S A H o s t H a s h > < G e m i n i F i e l d L i s t V i s i b l e > T r u e < / G e m i n i F i e l d L i s t V i s i b l e > < / S e t t i n g s > ] ] > < / C u s t o m C o n t e n t > < / G e m i n i > 
</file>

<file path=customXml/item51.xml>��< ? x m l   v e r s i o n = " 1 . 0 "   e n c o d i n g = " U T F - 1 6 " ? > < G e m i n i   x m l n s = " h t t p : / / g e m i n i / p i v o t c u s t o m i z a t i o n / 8 e e d c 9 7 8 - 0 7 e 8 - 4 8 d 8 - 8 1 c 4 - 2 d 3 3 6 5 5 3 a 9 2 f " > < 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 2 4 0 0 9 1 3 1 < / S A H o s t H a s h > < G e m i n i F i e l d L i s t V i s i b l e > T r u e < / G e m i n i F i e l d L i s t V i s i b l e > < / S e t t i n g s > ] ] > < / C u s t o m C o n t e n t > < / G e m i n i > 
</file>

<file path=customXml/item52.xml>��< ? x m l   v e r s i o n = " 1 . 0 "   e n c o d i n g = " U T F - 1 6 " ? > < G e m i n i   x m l n s = " h t t p : / / g e m i n i / p i v o t c u s t o m i z a t i o n / b d f a a e 4 a - 1 8 1 3 - 4 2 d f - 9 2 6 f - d e 8 e 8 9 8 8 7 2 a c " > < C u s t o m C o n t e n t > < ! [ C D A T A [ < ? x m l   v e r s i o n = " 1 . 0 "   e n c o d i n g = " u t f - 1 6 " ? > < S e t t i n g s > < H S l i c e r s S h a p e > 0 ; 0 ; 0 ; 0 < / H S l i c e r s S h a p e > < V S l i c e r s S h a p e > 0 ; 0 ; 0 ; 0 < / V S l i c e r s S h a p e > < S l i c e r S h e e t N a m e > L o n g   s t a y < / S l i c e r S h e e t N a m e > < S A H o s t H a s h > 1 0 2 8 2 5 0 7 5 7 < / S A H o s t H a s h > < G e m i n i F i e l d L i s t V i s i b l e > T r u e < / G e m i n i F i e l d L i s t V i s i b l e > < / S e t t i n g s > ] ] > < / C u s t o m C o n t e n t > < / G e m i n i > 
</file>

<file path=customXml/item53.xml>��< ? x m l   v e r s i o n = " 1 . 0 "   e n c o d i n g = " U T F - 1 6 " ? > < G e m i n i   x m l n s = " h t t p : / / g e m i n i / p i v o t c u s t o m i z a t i o n / 6 3 d 3 7 9 a d - 3 3 1 6 - 4 2 2 0 - 9 6 a b - b 2 4 f f 7 e d 4 0 9 f " > < 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 N I C U < / S l i c e r S h e e t N a m e > < S A H o s t H a s h > 4 3 6 0 7 4 2 3 5 < / S A H o s t H a s h > < G e m i n i F i e l d L i s t V i s i b l e > F a l s e < / G e m i n i F i e l d L i s t V i s i b l e > < / S e t t i n g s > ] ] > < / C u s t o m C o n t e n t > < / G e m i n i > 
</file>

<file path=customXml/item54.xml>��< ? x m l   v e r s i o n = " 1 . 0 "   e n c o d i n g = " U T F - 1 6 " ? > < G e m i n i   x m l n s = " h t t p : / / g e m i n i / p i v o t c u s t o m i z a t i o n / 8 0 9 2 c a 9 8 - d 0 5 5 - 4 0 1 c - 8 5 5 a - 8 7 a 6 5 0 e 1 5 8 9 b " > < 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S A H o s t H a s h > 0 < / S A H o s t H a s h > < G e m i n i F i e l d L i s t V i s i b l e > T r u e < / G e m i n i F i e l d L i s t V i s i b l e > < / S e t t i n g s > ] ] > < / C u s t o m C o n t e n t > < / G e m i n i > 
</file>

<file path=customXml/item55.xml>��< ? x m l   v e r s i o n = " 1 . 0 "   e n c o d i n g = " U T F - 1 6 " ? > < G e m i n i   x m l n s = " h t t p : / / g e m i n i / p i v o t c u s t o m i z a t i o n / b 8 8 f 8 9 d 5 - 5 5 a 0 - 4 a 8 a - b 4 b 8 - d b 6 a 2 b c 9 9 4 9 d " > < C u s t o m C o n t e n t > < ! [ C D A T A [ < ? x m l   v e r s i o n = " 1 . 0 "   e n c o d i n g = " u t f - 1 6 " ? > < S e t t i n g s > < H S l i c e r s S h a p e > 0 ; 0 ; 0 ; 0 < / H S l i c e r s S h a p e > < V S l i c e r s S h a p e > 0 ; 0 ; 0 ; 0 < / V S l i c e r s S h a p e > < S l i c e r S h e e t N a m e > L o n g   s t a y < / S l i c e r S h e e t N a m e > < S A H o s t H a s h > 1 5 5 6 3 2 6 9 0 1 < / S A H o s t H a s h > < G e m i n i F i e l d L i s t V i s i b l e > T r u e < / G e m i n i F i e l d L i s t V i s i b l e > < / S e t t i n g s > ] ] > < / C u s t o m C o n t e n t > < / G e m i n i > 
</file>

<file path=customXml/item5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 2 0 2 1 - 0 3 - 0 4 T 1 1 : 0 7 : 5 2 . 6 5 8 9 9 8 1 + 0 0 : 0 0 < / L a s t P r o c e s s e d T i m e > < / D a t a M o d e l i n g S a n d b o x . S e r i a l i z e d S a n d b o x E r r o r C a c h e > ] ] > < / C u s t o m C o n t e n t > < / G e m i n i > 
</file>

<file path=customXml/item57.xml>��< ? x m l   v e r s i o n = " 1 . 0 "   e n c o d i n g = " U T F - 1 6 " ? > < G e m i n i   x m l n s = " h t t p : / / g e m i n i / p i v o t c u s t o m i z a t i o n / e d 6 4 2 6 2 9 - 0 1 c e - 4 1 a 1 - 8 9 d c - 5 d c f a 0 2 1 9 d 0 f " > < C u s t o m C o n t e n t > < ! [ C D A T A [ < ? x m l   v e r s i o n = " 1 . 0 "   e n c o d i n g = " u t f - 1 6 " ? > < S e t t i n g s > < C a l c u l a t e d F i e l d s > < i t e m > < M e a s u r e N a m e > S u m   o f   G A   t o t a l   b e d s   a v a i l < / M e a s u r e N a m e > < D i s p l a y N a m e > T o t a l < / D i s p l a y N a m e > < V i s i b l e > T r u e < / V i s i b l e > < / i t e m > < i t e m > < M e a s u r e N a m e > S u m   o f   G A   c o r e   b e d s   a v a i l < / M e a s u r e N a m e > < D i s p l a y N a m e > C o r e < / D i s p l a y N a m e > < V i s i b l e > T r u e < / V i s i b l e > < / i t e m > < i t e m > < M e a s u r e N a m e > S u m   o f   G A   e s c a l a t i o n   b e d s   a v a i l < / M e a s u r e N a m e > < D i s p l a y N a m e > E s c a l a t i o n < / D i s p l a y N a m e > < V i s i b l e > T r u e < / V i s i b l e > < / i t e m > < / C a l c u l a t e d F i e l d s > < S A H o s t H a s h > 0 < / S A H o s t H a s h > < G e m i n i F i e l d L i s t V i s i b l e > T r u e < / G e m i n i F i e l d L i s t V i s i b l e > < / S e t t i n g s > ] ] > < / C u s t o m C o n t e n t > < / G e m i n i > 
</file>

<file path=customXml/item58.xml>��< ? x m l   v e r s i o n = " 1 . 0 "   e n c o d i n g = " U T F - 1 6 " ? > < G e m i n i   x m l n s = " h t t p : / / g e m i n i / p i v o t c u s t o m i z a t i o n / 6 a 6 6 9 4 b f - 2 5 7 9 - 4 d 4 7 - a d 9 9 - 0 c f 6 6 9 c 7 9 f b 5 " > < 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 L o n g   s t a y < / S l i c e r S h e e t N a m e > < S A H o s t H a s h > 8 6 2 3 2 1 2 0 5 < / S A H o s t H a s h > < G e m i n i F i e l d L i s t V i s i b l e > T r u e < / G e m i n i F i e l d L i s t V i s i b l e > < / S e t t i n g s > ] ] > < / C u s t o m C o n t e n t > < / G e m i n i > 
</file>

<file path=customXml/item59.xml>��< ? x m l   v e r s i o n = " 1 . 0 "   e n c o d i n g = " U T F - 1 6 " ? > < G e m i n i   x m l n s = " h t t p : / / g e m i n i / p i v o t c u s t o m i z a t i o n / 3 5 8 d a d 6 1 - f a 7 1 - 4 4 e 8 - 8 3 5 4 - 3 5 e a 4 1 b 2 9 d 4 d " > < 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 5 1 9 1 5 9 9 4 0 < / S A H o s t H a s h > < G e m i n i F i e l d L i s t V i s i b l e > T r u e < / G e m i n i F i e l d L i s t V i s i b l e > < / S e t t i n g s > ] ] > < / C u s t o m C o n t e n t > < / G e m i n i > 
</file>

<file path=customXml/item6.xml>��< ? x m l   v e r s i o n = " 1 . 0 "   e n c o d i n g = " U T F - 1 6 " ? > < G e m i n i   x m l n s = " h t t p : / / g e m i n i / p i v o t c u s t o m i z a t i o n / e 2 d e 2 b 4 0 - f 5 8 f - 4 5 2 2 - b 9 8 5 - c 9 b 0 8 a 9 8 f 8 1 8 " > < 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 L o n g   s t a y < / S l i c e r S h e e t N a m e > < S A H o s t H a s h > 8 6 2 3 2 1 2 0 5 < / S A H o s t H a s h > < G e m i n i F i e l d L i s t V i s i b l e > F a l s e < / G e m i n i F i e l d L i s t V i s i b l e > < / S e t t i n g s > ] ] > < / C u s t o m C o n t e n t > < / G e m i n i > 
</file>

<file path=customXml/item6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 T a g s \ T a b l e s \ & l t ; T a b l e s \ W i n t e r   d a i l y   s i t r e p s & g t ; < / K e y > < / D i a g r a m O b j e c t K e y > < D i a g r a m O b j e c t K e y > < K e y > D y n a m i c   T a g s \ T a b l e s \ & l t ; T a b l e s \ W i n t e r   b e d   o c c   o v e r   1 4   d a y s & g t ; < / K e y > < / D i a g r a m O b j e c t K e y > < D i a g r a m O b j e c t K e y > < K e y > T a b l e s \ W i n t e r   d a i l y   s i t r e p s < / K e y > < / D i a g r a m O b j e c t K e y > < D i a g r a m O b j e c t K e y > < K e y > T a b l e s \ W i n t e r   d a i l y   s i t r e p s \ C o l u m n s \ I D < / K e y > < / D i a g r a m O b j e c t K e y > < D i a g r a m O b j e c t K e y > < K e y > T a b l e s \ W i n t e r   d a i l y   s i t r e p s \ C o l u m n s \ c r i _ i d < / K e y > < / D i a g r a m O b j e c t K e y > < D i a g r a m O b j e c t K e y > < K e y > T a b l e s \ W i n t e r   d a i l y   s i t r e p s \ C o l u m n s \ d r _ i d < / K e y > < / D i a g r a m O b j e c t K e y > < D i a g r a m O b j e c t K e y > < K e y > T a b l e s \ W i n t e r   d a i l y   s i t r e p s \ C o l u m n s \ o r g _ i d < / K e y > < / D i a g r a m O b j e c t K e y > < D i a g r a m O b j e c t K e y > < K e y > T a b l e s \ W i n t e r   d a i l y   s i t r e p s \ C o l u m n s \ c r i _ d a t a p e r i o d s t a r t < / K e y > < / D i a g r a m O b j e c t K e y > < D i a g r a m O b j e c t K e y > < K e y > T a b l e s \ W i n t e r   d a i l y   s i t r e p s \ C o l u m n s \ C o d e < / K e y > < / D i a g r a m O b j e c t K e y > < D i a g r a m O b j e c t K e y > < K e y > T a b l e s \ W i n t e r   d a i l y   s i t r e p s \ C o l u m n s \ N a m e < / K e y > < / D i a g r a m O b j e c t K e y > < D i a g r a m O b j e c t K e y > < K e y > T a b l e s \ W i n t e r   d a i l y   s i t r e p s \ C o l u m n s \ D a t e < / K e y > < / D i a g r a m O b j e c t K e y > < D i a g r a m O b j e c t K e y > < K e y > T a b l e s \ W i n t e r   d a i l y   s i t r e p s \ C o l u m n s \ W e e k < / K e y > < / D i a g r a m O b j e c t K e y > < D i a g r a m O b j e c t K e y > < K e y > T a b l e s \ W i n t e r   d a i l y   s i t r e p s \ C o l u m n s \ D a y < / K e y > < / D i a g r a m O b j e c t K e y > < D i a g r a m O b j e c t K e y > < K e y > T a b l e s \ W i n t e r   d a i l y   s i t r e p s \ C o l u m n s \ B a n k   h o l i d a y < / K e y > < / D i a g r a m O b j e c t K e y > < D i a g r a m O b j e c t K e y > < K e y > T a b l e s \ W i n t e r   d a i l y   s i t r e p s \ C o l u m n s \ A E   c l o s u r e s < / K e y > < / D i a g r a m O b j e c t K e y > < D i a g r a m O b j e c t K e y > < K e y > T a b l e s \ W i n t e r   d a i l y   s i t r e p s \ C o l u m n s \ A E   d i v e r t s < / K e y > < / D i a g r a m O b j e c t K e y > < D i a g r a m O b j e c t K e y > < K e y > T a b l e s \ W i n t e r   d a i l y   s i t r e p s \ C o l u m n s \ A E   t y p e   1   a t t e n d a n c e s < / K e y > < / D i a g r a m O b j e c t K e y > < D i a g r a m O b j e c t K e y > < K e y > T a b l e s \ W i n t e r   d a i l y   s i t r e p s \ C o l u m n s \ A E   t y p e   2   a t t e n d a n c e s < / K e y > < / D i a g r a m O b j e c t K e y > < D i a g r a m O b j e c t K e y > < K e y > T a b l e s \ W i n t e r   d a i l y   s i t r e p s \ C o l u m n s \ A E   t y p e   3   a t t e n d a n c e s < / K e y > < / D i a g r a m O b j e c t K e y > < D i a g r a m O b j e c t K e y > < K e y > T a b l e s \ W i n t e r   d a i l y   s i t r e p s \ C o l u m n s \ A E   t o t a l   a t t e n d a n c e s < / K e y > < / D i a g r a m O b j e c t K e y > < D i a g r a m O b j e c t K e y > < K e y > T a b l e s \ W i n t e r   d a i l y   s i t r e p s \ C o l u m n s \ E m e r g e n c y   a d m i s s i o n s < / K e y > < / D i a g r a m O b j e c t K e y > < D i a g r a m O b j e c t K e y > < K e y > T a b l e s \ W i n t e r   d a i l y   s i t r e p s \ C o l u m n s \ G A   c o r e   b e d s   a v a i l < / K e y > < / D i a g r a m O b j e c t K e y > < D i a g r a m O b j e c t K e y > < K e y > T a b l e s \ W i n t e r   d a i l y   s i t r e p s \ C o l u m n s \ G A   e s c a l a t i o n   b e d s   a v a i l < / K e y > < / D i a g r a m O b j e c t K e y > < D i a g r a m O b j e c t K e y > < K e y > T a b l e s \ W i n t e r   d a i l y   s i t r e p s \ C o l u m n s \ G A   t o t a l   b e d s   a v a i l < / K e y > < / D i a g r a m O b j e c t K e y > < D i a g r a m O b j e c t K e y > < K e y > T a b l e s \ W i n t e r   d a i l y   s i t r e p s \ C o l u m n s \ G A   t o t a l   b e d s   o c c u p i e d < / K e y > < / D i a g r a m O b j e c t K e y > < D i a g r a m O b j e c t K e y > < K e y > T a b l e s \ W i n t e r   d a i l y   s i t r e p s \ C o l u m n s \ B e d s   c l o s e d   n o r o v i r u s < / K e y > < / D i a g r a m O b j e c t K e y > < D i a g r a m O b j e c t K e y > < K e y > T a b l e s \ W i n t e r   d a i l y   s i t r e p s \ C o l u m n s \ B e d s   c l o s e d   n o r o v i u s   u n o c c < / K e y > < / D i a g r a m O b j e c t K e y > < D i a g r a m O b j e c t K e y > < K e y > T a b l e s \ W i n t e r   d a i l y   s i t r e p s \ C o l u m n s \ A d u l t   C C   b e d s   a v a i l < / K e y > < / D i a g r a m O b j e c t K e y > < D i a g r a m O b j e c t K e y > < K e y > T a b l e s \ W i n t e r   d a i l y   s i t r e p s \ C o l u m n s \ A d u l t   C C   b e d s   o c c < / K e y > < / D i a g r a m O b j e c t K e y > < D i a g r a m O b j e c t K e y > < K e y > T a b l e s \ W i n t e r   d a i l y   s i t r e p s \ C o l u m n s \ P a e d   I n t   C a r e   A v a i l < / K e y > < / D i a g r a m O b j e c t K e y > < D i a g r a m O b j e c t K e y > < K e y > T a b l e s \ W i n t e r   d a i l y   s i t r e p s \ C o l u m n s \ P a e d   I n t   C a r e   O c c < / K e y > < / D i a g r a m O b j e c t K e y > < D i a g r a m O b j e c t K e y > < K e y > T a b l e s \ W i n t e r   d a i l y   s i t r e p s \ C o l u m n s \ N e o   I n t   C a r e   A v a i l < / K e y > < / D i a g r a m O b j e c t K e y > < D i a g r a m O b j e c t K e y > < K e y > T a b l e s \ W i n t e r   d a i l y   s i t r e p s \ C o l u m n s \ N e o   I n t   C a r e   o c c < / K e y > < / D i a g r a m O b j e c t K e y > < D i a g r a m O b j e c t K e y > < K e y > T a b l e s \ W i n t e r   d a i l y   s i t r e p s \ C o l u m n s \ O P E L   3   o r   a b o v e < / K e y > < / D i a g r a m O b j e c t K e y > < D i a g r a m O b j e c t K e y > < K e y > T a b l e s \ W i n t e r   d a i l y   s i t r e p s \ C o l u m n s \ W e e k e n d < / K e y > < / D i a g r a m O b j e c t K e y > < D i a g r a m O b j e c t K e y > < K e y > T a b l e s \ W i n t e r   d a i l y   s i t r e p s \ C o l u m n s \ R e g i o n < / K e y > < / D i a g r a m O b j e c t K e y > < D i a g r a m O b j e c t K e y > < K e y > T a b l e s \ W i n t e r   d a i l y   s i t r e p s \ C o l u m n s \ Y e a r < / K e y > < / D i a g r a m O b j e c t K e y > < D i a g r a m O b j e c t K e y > < K e y > T a b l e s \ W i n t e r   d a i l y   s i t r e p s \ C o l u m n s \ B e d s   o c c   o v e r   7   d a y s < / K e y > < / D i a g r a m O b j e c t K e y > < D i a g r a m O b j e c t K e y > < K e y > T a b l e s \ W i n t e r   d a i l y   s i t r e p s \ C o l u m n s \ B e d s   o c c   o v e r   2 1   d a y s < / K e y > < / D i a g r a m O b j e c t K e y > < D i a g r a m O b j e c t K e y > < K e y > T a b l e s \ W i n t e r   d a i l y   s i t r e p s \ C o l u m n s \ A m b   a r r i v a l s < / K e y > < / D i a g r a m O b j e c t K e y > < D i a g r a m O b j e c t K e y > < K e y > T a b l e s \ W i n t e r   d a i l y   s i t r e p s \ C o l u m n s \ A m b   d e l a y s   3 0 - 6 0   m i n s < / K e y > < / D i a g r a m O b j e c t K e y > < D i a g r a m O b j e c t K e y > < K e y > T a b l e s \ W i n t e r   d a i l y   s i t r e p s \ C o l u m n s \ A m b   d e l a y s   o v e r   6 0   m i n s < / K e y > < / D i a g r a m O b j e c t K e y > < D i a g r a m O b j e c t K e y > < K e y > T a b l e s \ W i n t e r   d a i l y   s i t r e p s \ C o l u m n s \ W e e k   l o n g < / K e y > < / D i a g r a m O b j e c t K e y > < D i a g r a m O b j e c t K e y > < K e y > T a b l e s \ W i n t e r   d a i l y   s i t r e p s \ C o l u m n s \ G A   b e d   o c c u p a n c y < / K e y > < / D i a g r a m O b j e c t K e y > < D i a g r a m O b j e c t K e y > < K e y > T a b l e s \ W i n t e r   d a i l y   s i t r e p s \ C o l u m n s \ B e d s   o c c   o v e r   1 4   d a y s < / K e y > < / D i a g r a m O b j e c t K e y > < D i a g r a m O b j e c t K e y > < K e y > T a b l e s \ W i n t e r   d a i l y   s i t r e p s \ M e a s u r e s \ S u m   o f   A E   d i v e r t s < / K e y > < / D i a g r a m O b j e c t K e y > < D i a g r a m O b j e c t K e y > < K e y > T a b l e s \ W i n t e r   d a i l y   s i t r e p s \ S u m   o f   A E   d i v e r t s \ A d d i t i o n a l   I n f o \ I m p l i c i t   M e a s u r e < / K e y > < / D i a g r a m O b j e c t K e y > < D i a g r a m O b j e c t K e y > < K e y > T a b l e s \ W i n t e r   d a i l y   s i t r e p s \ M e a s u r e s \ S u m   o f   G A   t o t a l   b e d s   o c c u p i e d < / K e y > < / D i a g r a m O b j e c t K e y > < D i a g r a m O b j e c t K e y > < K e y > T a b l e s \ W i n t e r   d a i l y   s i t r e p s \ S u m   o f   G A   t o t a l   b e d s   o c c u p i e d \ A d d i t i o n a l   I n f o \ I m p l i c i t   M e a s u r e < / K e y > < / D i a g r a m O b j e c t K e y > < D i a g r a m O b j e c t K e y > < K e y > T a b l e s \ W i n t e r   d a i l y   s i t r e p s \ M e a s u r e s \ A v e r a g e   o f   G A   t o t a l   b e d s   o c c u p i e d < / K e y > < / D i a g r a m O b j e c t K e y > < D i a g r a m O b j e c t K e y > < K e y > T a b l e s \ W i n t e r   d a i l y   s i t r e p s \ A v e r a g e   o f   G A   t o t a l   b e d s   o c c u p i e d \ A d d i t i o n a l   I n f o \ I m p l i c i t   M e a s u r e < / K e y > < / D i a g r a m O b j e c t K e y > < D i a g r a m O b j e c t K e y > < K e y > T a b l e s \ W i n t e r   d a i l y   s i t r e p s \ M e a s u r e s \ S u m   o f   G A   t o t a l   b e d s   a v a i l < / K e y > < / D i a g r a m O b j e c t K e y > < D i a g r a m O b j e c t K e y > < K e y > T a b l e s \ W i n t e r   d a i l y   s i t r e p s \ S u m   o f   G A   t o t a l   b e d s   a v a i l \ A d d i t i o n a l   I n f o \ I m p l i c i t   M e a s u r e < / K e y > < / D i a g r a m O b j e c t K e y > < D i a g r a m O b j e c t K e y > < K e y > T a b l e s \ W i n t e r   d a i l y   s i t r e p s \ M e a s u r e s \ S u m   o f   B e d s   o c c   o v e r   7   d a y s < / K e y > < / D i a g r a m O b j e c t K e y > < D i a g r a m O b j e c t K e y > < K e y > T a b l e s \ W i n t e r   d a i l y   s i t r e p s \ S u m   o f   B e d s   o c c   o v e r   7   d a y s \ A d d i t i o n a l   I n f o \ I m p l i c i t   M e a s u r e < / K e y > < / D i a g r a m O b j e c t K e y > < D i a g r a m O b j e c t K e y > < K e y > T a b l e s \ W i n t e r   d a i l y   s i t r e p s \ M e a s u r e s \ S u m   o f   B e d s   o c c   o v e r   2 1   d a y s < / K e y > < / D i a g r a m O b j e c t K e y > < D i a g r a m O b j e c t K e y > < K e y > T a b l e s \ W i n t e r   d a i l y   s i t r e p s \ S u m   o f   B e d s   o c c   o v e r   2 1   d a y s \ A d d i t i o n a l   I n f o \ I m p l i c i t   M e a s u r e < / K e y > < / D i a g r a m O b j e c t K e y > < D i a g r a m O b j e c t K e y > < K e y > T a b l e s \ W i n t e r   d a i l y   s i t r e p s \ M e a s u r e s \ A v e r a g e   o f   B e d s   o c c   o v e r   2 1   d a y s < / K e y > < / D i a g r a m O b j e c t K e y > < D i a g r a m O b j e c t K e y > < K e y > T a b l e s \ W i n t e r   d a i l y   s i t r e p s \ A v e r a g e   o f   B e d s   o c c   o v e r   2 1   d a y s \ A d d i t i o n a l   I n f o \ I m p l i c i t   M e a s u r e < / K e y > < / D i a g r a m O b j e c t K e y > < D i a g r a m O b j e c t K e y > < K e y > T a b l e s \ W i n t e r   d a i l y   s i t r e p s \ M e a s u r e s \ S u m   o f   B e d s   c l o s e d   n o r o v i r u s < / K e y > < / D i a g r a m O b j e c t K e y > < D i a g r a m O b j e c t K e y > < K e y > T a b l e s \ W i n t e r   d a i l y   s i t r e p s \ S u m   o f   B e d s   c l o s e d   n o r o v i r u s \ A d d i t i o n a l   I n f o \ I m p l i c i t   M e a s u r e < / K e y > < / D i a g r a m O b j e c t K e y > < D i a g r a m O b j e c t K e y > < K e y > T a b l e s \ W i n t e r   d a i l y   s i t r e p s \ M e a s u r e s \ A v e r a g e   o f   B e d s   c l o s e d   n o r o v i r u s < / K e y > < / D i a g r a m O b j e c t K e y > < D i a g r a m O b j e c t K e y > < K e y > T a b l e s \ W i n t e r   d a i l y   s i t r e p s \ A v e r a g e   o f   B e d s   c l o s e d   n o r o v i r u s \ A d d i t i o n a l   I n f o \ I m p l i c i t   M e a s u r e < / K e y > < / D i a g r a m O b j e c t K e y > < D i a g r a m O b j e c t K e y > < K e y > T a b l e s \ W i n t e r   d a i l y   s i t r e p s \ M e a s u r e s \ S u m   o f   B e d s   c l o s e d   n o r o v i u s   u n o c c < / K e y > < / D i a g r a m O b j e c t K e y > < D i a g r a m O b j e c t K e y > < K e y > T a b l e s \ W i n t e r   d a i l y   s i t r e p s \ S u m   o f   B e d s   c l o s e d   n o r o v i u s   u n o c c \ A d d i t i o n a l   I n f o \ I m p l i c i t   M e a s u r e < / K e y > < / D i a g r a m O b j e c t K e y > < D i a g r a m O b j e c t K e y > < K e y > T a b l e s \ W i n t e r   d a i l y   s i t r e p s \ M e a s u r e s \ S u m   o f   A m b   a r r i v a l s < / K e y > < / D i a g r a m O b j e c t K e y > < D i a g r a m O b j e c t K e y > < K e y > T a b l e s \ W i n t e r   d a i l y   s i t r e p s \ S u m   o f   A m b   a r r i v a l s \ A d d i t i o n a l   I n f o \ I m p l i c i t   M e a s u r e < / K e y > < / D i a g r a m O b j e c t K e y > < D i a g r a m O b j e c t K e y > < K e y > T a b l e s \ W i n t e r   d a i l y   s i t r e p s \ M e a s u r e s \ S u m   o f   A m b   d e l a y s   3 0 - 6 0   m i n s < / K e y > < / D i a g r a m O b j e c t K e y > < D i a g r a m O b j e c t K e y > < K e y > T a b l e s \ W i n t e r   d a i l y   s i t r e p s \ S u m   o f   A m b   d e l a y s   3 0 - 6 0   m i n s \ A d d i t i o n a l   I n f o \ I m p l i c i t   M e a s u r e < / K e y > < / D i a g r a m O b j e c t K e y > < D i a g r a m O b j e c t K e y > < K e y > T a b l e s \ W i n t e r   d a i l y   s i t r e p s \ M e a s u r e s \ S u m   o f   A m b   d e l a y s   o v e r   6 0   m i n s < / K e y > < / D i a g r a m O b j e c t K e y > < D i a g r a m O b j e c t K e y > < K e y > T a b l e s \ W i n t e r   d a i l y   s i t r e p s \ S u m   o f   A m b   d e l a y s   o v e r   6 0   m i n s \ A d d i t i o n a l   I n f o \ I m p l i c i t   M e a s u r e < / K e y > < / D i a g r a m O b j e c t K e y > < D i a g r a m O b j e c t K e y > < K e y > T a b l e s \ W i n t e r   d a i l y   s i t r e p s \ M e a s u r e s \ S u m   o f   A d u l t   C C   b e d s   a v a i l < / K e y > < / D i a g r a m O b j e c t K e y > < D i a g r a m O b j e c t K e y > < K e y > T a b l e s \ W i n t e r   d a i l y   s i t r e p s \ S u m   o f   A d u l t   C C   b e d s   a v a i l \ A d d i t i o n a l   I n f o \ I m p l i c i t   M e a s u r e < / K e y > < / D i a g r a m O b j e c t K e y > < D i a g r a m O b j e c t K e y > < K e y > T a b l e s \ W i n t e r   d a i l y   s i t r e p s \ M e a s u r e s \ S u m   o f   A d u l t   C C   b e d s   o c c < / K e y > < / D i a g r a m O b j e c t K e y > < D i a g r a m O b j e c t K e y > < K e y > T a b l e s \ W i n t e r   d a i l y   s i t r e p s \ S u m   o f   A d u l t   C C   b e d s   o c c \ A d d i t i o n a l   I n f o \ I m p l i c i t   M e a s u r e < / K e y > < / D i a g r a m O b j e c t K e y > < D i a g r a m O b j e c t K e y > < K e y > T a b l e s \ W i n t e r   d a i l y   s i t r e p s \ M e a s u r e s \ S u m   o f   P a e d   I n t   C a r e   A v a i l < / K e y > < / D i a g r a m O b j e c t K e y > < D i a g r a m O b j e c t K e y > < K e y > T a b l e s \ W i n t e r   d a i l y   s i t r e p s \ S u m   o f   P a e d   I n t   C a r e   A v a i l \ A d d i t i o n a l   I n f o \ I m p l i c i t   M e a s u r e < / K e y > < / D i a g r a m O b j e c t K e y > < D i a g r a m O b j e c t K e y > < K e y > T a b l e s \ W i n t e r   d a i l y   s i t r e p s \ M e a s u r e s \ S u m   o f   P a e d   I n t   C a r e   O c c < / K e y > < / D i a g r a m O b j e c t K e y > < D i a g r a m O b j e c t K e y > < K e y > T a b l e s \ W i n t e r   d a i l y   s i t r e p s \ S u m   o f   P a e d   I n t   C a r e   O c c \ A d d i t i o n a l   I n f o \ I m p l i c i t   M e a s u r e < / K e y > < / D i a g r a m O b j e c t K e y > < D i a g r a m O b j e c t K e y > < K e y > T a b l e s \ W i n t e r   d a i l y   s i t r e p s \ M e a s u r e s \ S u m   o f   N e o   I n t   C a r e   A v a i l < / K e y > < / D i a g r a m O b j e c t K e y > < D i a g r a m O b j e c t K e y > < K e y > T a b l e s \ W i n t e r   d a i l y   s i t r e p s \ S u m   o f   N e o   I n t   C a r e   A v a i l \ A d d i t i o n a l   I n f o \ I m p l i c i t   M e a s u r e < / K e y > < / D i a g r a m O b j e c t K e y > < D i a g r a m O b j e c t K e y > < K e y > T a b l e s \ W i n t e r   d a i l y   s i t r e p s \ M e a s u r e s \ S u m   o f   N e o   I n t   C a r e   o c c < / K e y > < / D i a g r a m O b j e c t K e y > < D i a g r a m O b j e c t K e y > < K e y > T a b l e s \ W i n t e r   d a i l y   s i t r e p s \ S u m   o f   N e o   I n t   C a r e   o c c \ A d d i t i o n a l   I n f o \ I m p l i c i t   M e a s u r e < / K e y > < / D i a g r a m O b j e c t K e y > < D i a g r a m O b j e c t K e y > < K e y > T a b l e s \ W i n t e r   d a i l y   s i t r e p s \ M e a s u r e s \ A v e r a g e   o f   N e o   I n t   C a r e   A v a i l < / K e y > < / D i a g r a m O b j e c t K e y > < D i a g r a m O b j e c t K e y > < K e y > T a b l e s \ W i n t e r   d a i l y   s i t r e p s \ A v e r a g e   o f   N e o   I n t   C a r e   A v a i l \ A d d i t i o n a l   I n f o \ I m p l i c i t   M e a s u r e < / K e y > < / D i a g r a m O b j e c t K e y > < D i a g r a m O b j e c t K e y > < K e y > T a b l e s \ W i n t e r   d a i l y   s i t r e p s \ M e a s u r e s \ A v e r a g e   o f   N e o   I n t   C a r e   o c c < / K e y > < / D i a g r a m O b j e c t K e y > < D i a g r a m O b j e c t K e y > < K e y > T a b l e s \ W i n t e r   d a i l y   s i t r e p s \ A v e r a g e   o f   N e o   I n t   C a r e   o c c \ A d d i t i o n a l   I n f o \ I m p l i c i t   M e a s u r e < / K e y > < / D i a g r a m O b j e c t K e y > < D i a g r a m O b j e c t K e y > < K e y > T a b l e s \ W i n t e r   d a i l y   s i t r e p s \ M e a s u r e s \ S u m   o f   G A   b e d   o c c u p a n c y < / K e y > < / D i a g r a m O b j e c t K e y > < D i a g r a m O b j e c t K e y > < K e y > T a b l e s \ W i n t e r   d a i l y   s i t r e p s \ S u m   o f   G A   b e d   o c c u p a n c y \ A d d i t i o n a l   I n f o \ I m p l i c i t   M e a s u r e < / K e y > < / D i a g r a m O b j e c t K e y > < D i a g r a m O b j e c t K e y > < K e y > T a b l e s \ W i n t e r   d a i l y   s i t r e p s \ M e a s u r e s \ A v e r a g e   o f   G A   b e d   o c c u p a n c y < / K e y > < / D i a g r a m O b j e c t K e y > < D i a g r a m O b j e c t K e y > < K e y > T a b l e s \ W i n t e r   d a i l y   s i t r e p s \ A v e r a g e   o f   G A   b e d   o c c u p a n c y \ A d d i t i o n a l   I n f o \ I m p l i c i t   M e a s u r e < / K e y > < / D i a g r a m O b j e c t K e y > < D i a g r a m O b j e c t K e y > < K e y > T a b l e s \ W i n t e r   d a i l y   s i t r e p s \ M e a s u r e s \ S u m   o f   G A   c o r e   b e d s   a v a i l < / K e y > < / D i a g r a m O b j e c t K e y > < D i a g r a m O b j e c t K e y > < K e y > T a b l e s \ W i n t e r   d a i l y   s i t r e p s \ S u m   o f   G A   c o r e   b e d s   a v a i l \ A d d i t i o n a l   I n f o \ I m p l i c i t   M e a s u r e < / K e y > < / D i a g r a m O b j e c t K e y > < D i a g r a m O b j e c t K e y > < K e y > T a b l e s \ W i n t e r   d a i l y   s i t r e p s \ M e a s u r e s \ S u m   o f   G A   e s c a l a t i o n   b e d s   a v a i l < / K e y > < / D i a g r a m O b j e c t K e y > < D i a g r a m O b j e c t K e y > < K e y > T a b l e s \ W i n t e r   d a i l y   s i t r e p s \ S u m   o f   G A   e s c a l a t i o n   b e d s   a v a i l \ A d d i t i o n a l   I n f o \ I m p l i c i t   M e a s u r e < / K e y > < / D i a g r a m O b j e c t K e y > < D i a g r a m O b j e c t K e y > < K e y > T a b l e s \ W i n t e r   d a i l y   s i t r e p s \ M e a s u r e s \ S u m   o f   B e d s   o c c   o v e r   1 4   d a y s   2 < / K e y > < / D i a g r a m O b j e c t K e y > < D i a g r a m O b j e c t K e y > < K e y > T a b l e s \ W i n t e r   d a i l y   s i t r e p s \ S u m   o f   B e d s   o c c   o v e r   1 4   d a y s   2 \ A d d i t i o n a l   I n f o \ I m p l i c i t   M e a s u r e < / K e y > < / D i a g r a m O b j e c t K e y > < D i a g r a m O b j e c t K e y > < K e y > T a b l e s \ W i n t e r   b e d   o c c   o v e r   1 4   d a y s < / K e y > < / D i a g r a m O b j e c t K e y > < D i a g r a m O b j e c t K e y > < K e y > T a b l e s \ W i n t e r   b e d   o c c   o v e r   1 4   d a y s \ C o l u m n s \ R e g i o n < / K e y > < / D i a g r a m O b j e c t K e y > < D i a g r a m O b j e c t K e y > < K e y > T a b l e s \ W i n t e r   b e d   o c c   o v e r   1 4   d a y s \ C o l u m n s \ C o d e < / K e y > < / D i a g r a m O b j e c t K e y > < D i a g r a m O b j e c t K e y > < K e y > T a b l e s \ W i n t e r   b e d   o c c   o v e r   1 4   d a y s \ C o l u m n s \ N a m e < / K e y > < / D i a g r a m O b j e c t K e y > < D i a g r a m O b j e c t K e y > < K e y > T a b l e s \ W i n t e r   b e d   o c c   o v e r   1 4   d a y s \ C o l u m n s \ Y e a r < / K e y > < / D i a g r a m O b j e c t K e y > < D i a g r a m O b j e c t K e y > < K e y > T a b l e s \ W i n t e r   b e d   o c c   o v e r   1 4   d a y s \ C o l u m n s \ D a t e < / K e y > < / D i a g r a m O b j e c t K e y > < D i a g r a m O b j e c t K e y > < K e y > T a b l e s \ W i n t e r   b e d   o c c   o v e r   1 4   d a y s \ C o l u m n s \ W e e k < / K e y > < / D i a g r a m O b j e c t K e y > < D i a g r a m O b j e c t K e y > < K e y > T a b l e s \ W i n t e r   b e d   o c c   o v e r   1 4   d a y s \ C o l u m n s \ D a y < / K e y > < / D i a g r a m O b j e c t K e y > < D i a g r a m O b j e c t K e y > < K e y > T a b l e s \ W i n t e r   b e d   o c c   o v e r   1 4   d a y s \ C o l u m n s \ W e e k e n d < / K e y > < / D i a g r a m O b j e c t K e y > < D i a g r a m O b j e c t K e y > < K e y > T a b l e s \ W i n t e r   b e d   o c c   o v e r   1 4   d a y s \ C o l u m n s \ B a n k   h o l i d a y < / K e y > < / D i a g r a m O b j e c t K e y > < D i a g r a m O b j e c t K e y > < K e y > T a b l e s \ W i n t e r   b e d   o c c   o v e r   1 4   d a y s \ C o l u m n s \ A   E   c l o s u r e s < / K e y > < / D i a g r a m O b j e c t K e y > < D i a g r a m O b j e c t K e y > < K e y > T a b l e s \ W i n t e r   b e d   o c c   o v e r   1 4   d a y s \ C o l u m n s \ A   E   d i v e r t s < / K e y > < / D i a g r a m O b j e c t K e y > < D i a g r a m O b j e c t K e y > < K e y > T a b l e s \ W i n t e r   b e d   o c c   o v e r   1 4   d a y s \ C o l u m n s \ G   A   c o r e   b e d s   a v a i l < / K e y > < / D i a g r a m O b j e c t K e y > < D i a g r a m O b j e c t K e y > < K e y > T a b l e s \ W i n t e r   b e d   o c c   o v e r   1 4   d a y s \ C o l u m n s \ G   A   e s c a l a t i o n   b e d s   a v a i l < / K e y > < / D i a g r a m O b j e c t K e y > < D i a g r a m O b j e c t K e y > < K e y > T a b l e s \ W i n t e r   b e d   o c c   o v e r   1 4   d a y s \ C o l u m n s \ G   A   t o t a l   b e d s   a v a i l < / K e y > < / D i a g r a m O b j e c t K e y > < D i a g r a m O b j e c t K e y > < K e y > T a b l e s \ W i n t e r   b e d   o c c   o v e r   1 4   d a y s \ C o l u m n s \ G   A   t o t a l   b e d s   o c c u p i e d < / K e y > < / D i a g r a m O b j e c t K e y > < D i a g r a m O b j e c t K e y > < K e y > T a b l e s \ W i n t e r   b e d   o c c   o v e r   1 4   d a y s \ C o l u m n s \ B e d s   o c c   o v e r   7   d a y s < / K e y > < / D i a g r a m O b j e c t K e y > < D i a g r a m O b j e c t K e y > < K e y > T a b l e s \ W i n t e r   b e d   o c c   o v e r   1 4   d a y s \ C o l u m n s \ B e d s   o c c   o v e r   2 1   d a y s < / K e y > < / D i a g r a m O b j e c t K e y > < D i a g r a m O b j e c t K e y > < K e y > T a b l e s \ W i n t e r   b e d   o c c   o v e r   1 4   d a y s \ C o l u m n s \ B e d s   c l o s e d   n o r o v i r u s < / K e y > < / D i a g r a m O b j e c t K e y > < D i a g r a m O b j e c t K e y > < K e y > T a b l e s \ W i n t e r   b e d   o c c   o v e r   1 4   d a y s \ C o l u m n s \ B e d s   c l o s e d   n o r o v i u s   u n o c c < / K e y > < / D i a g r a m O b j e c t K e y > < D i a g r a m O b j e c t K e y > < K e y > T a b l e s \ W i n t e r   b e d   o c c   o v e r   1 4   d a y s \ C o l u m n s \ A d u l t   C C   b e d s   a v a i l < / K e y > < / D i a g r a m O b j e c t K e y > < D i a g r a m O b j e c t K e y > < K e y > T a b l e s \ W i n t e r   b e d   o c c   o v e r   1 4   d a y s \ C o l u m n s \ A d u l t   C C   b e d s   o c c < / K e y > < / D i a g r a m O b j e c t K e y > < D i a g r a m O b j e c t K e y > < K e y > T a b l e s \ W i n t e r   b e d   o c c   o v e r   1 4   d a y s \ C o l u m n s \ P a e d   I n t   C a r e   A v a i l < / K e y > < / D i a g r a m O b j e c t K e y > < D i a g r a m O b j e c t K e y > < K e y > T a b l e s \ W i n t e r   b e d   o c c   o v e r   1 4   d a y s \ C o l u m n s \ P a e d   I n t   C a r e   O c c < / K e y > < / D i a g r a m O b j e c t K e y > < D i a g r a m O b j e c t K e y > < K e y > T a b l e s \ W i n t e r   b e d   o c c   o v e r   1 4   d a y s \ C o l u m n s \ N e o   I n t   C a r e   A v a i l < / K e y > < / D i a g r a m O b j e c t K e y > < D i a g r a m O b j e c t K e y > < K e y > T a b l e s \ W i n t e r   b e d   o c c   o v e r   1 4   d a y s \ C o l u m n s \ N e o   I n t   C a r e   o c c < / K e y > < / D i a g r a m O b j e c t K e y > < D i a g r a m O b j e c t K e y > < K e y > T a b l e s \ W i n t e r   b e d   o c c   o v e r   1 4   d a y s \ C o l u m n s \ A m b   a r r i v a l s < / K e y > < / D i a g r a m O b j e c t K e y > < D i a g r a m O b j e c t K e y > < K e y > T a b l e s \ W i n t e r   b e d   o c c   o v e r   1 4   d a y s \ C o l u m n s \ A m b   d e l a y s   3 0 - 6 0   m i n s < / K e y > < / D i a g r a m O b j e c t K e y > < D i a g r a m O b j e c t K e y > < K e y > T a b l e s \ W i n t e r   b e d   o c c   o v e r   1 4   d a y s \ C o l u m n s \ A m b   d e l a y s   o v e r   6 0   m i n s < / K e y > < / D i a g r a m O b j e c t K e y > < D i a g r a m O b j e c t K e y > < K e y > T a b l e s \ W i n t e r   b e d   o c c   o v e r   1 4   d a y s \ C o l u m n s \ B e d s   o c c   o v e r   1 4   d a y s < / K e y > < / D i a g r a m O b j e c t K e y > < D i a g r a m O b j e c t K e y > < K e y > T a b l e s \ W i n t e r   b e d   o c c   o v e r   1 4   d a y s \ M e a s u r e s \ S u m   o f   B e d s   o c c   o v e r   1 4   d a y s < / K e y > < / D i a g r a m O b j e c t K e y > < D i a g r a m O b j e c t K e y > < K e y > T a b l e s \ W i n t e r   b e d   o c c   o v e r   1 4   d a y s \ S u m   o f   B e d s   o c c   o v e r   1 4   d a y s \ A d d i t i o n a l   I n f o \ I m p l i c i t   M e a s u r e < / 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 T a g s \ T a b l e s \ & l t ; T a b l e s \ W i n t e r   d a i l y   s i t r e p s & g t ; < / K e y > < / a : K e y > < a : V a l u e   i : t y p e = " D i a g r a m D i s p l a y T a g V i e w S t a t e " > < I s N o t F i l t e r e d O u t > t r u e < / I s N o t F i l t e r e d O u t > < / a : V a l u e > < / a : K e y V a l u e O f D i a g r a m O b j e c t K e y a n y T y p e z b w N T n L X > < a : K e y V a l u e O f D i a g r a m O b j e c t K e y a n y T y p e z b w N T n L X > < a : K e y > < K e y > D y n a m i c   T a g s \ T a b l e s \ & l t ; T a b l e s \ W i n t e r   b e d   o c c   o v e r   1 4   d a y s & g t ; < / K e y > < / a : K e y > < a : V a l u e   i : t y p e = " D i a g r a m D i s p l a y T a g V i e w S t a t e " > < I s N o t F i l t e r e d O u t > t r u e < / I s N o t F i l t e r e d O u t > < / a : V a l u e > < / a : K e y V a l u e O f D i a g r a m O b j e c t K e y a n y T y p e z b w N T n L X > < a : K e y V a l u e O f D i a g r a m O b j e c t K e y a n y T y p e z b w N T n L X > < a : K e y > < K e y > T a b l e s \ W i n t e r   d a i l y   s i t r e p s < / K e y > < / a : K e y > < a : V a l u e   i : t y p e = " D i a g r a m D i s p l a y N o d e V i e w S t a t e " > < H e i g h t > 1 5 0 < / H e i g h t > < I s E x p a n d e d > t r u e < / I s E x p a n d e d > < L a y e d O u t > t r u e < / L a y e d O u t > < S c r o l l V e r t i c a l O f f s e t > 7 5 7 . 2 9 2 6 8 2 9 2 6 8 2 9 < / S c r o l l V e r t i c a l O f f s e t > < W i d t h > 2 0 0 < / W i d t h > < / a : V a l u e > < / a : K e y V a l u e O f D i a g r a m O b j e c t K e y a n y T y p e z b w N T n L X > < a : K e y V a l u e O f D i a g r a m O b j e c t K e y a n y T y p e z b w N T n L X > < a : K e y > < K e y > T a b l e s \ W i n t e r   d a i l y   s i t r e p s \ C o l u m n s \ I D < / K e y > < / a : K e y > < a : V a l u e   i : t y p e = " D i a g r a m D i s p l a y N o d e V i e w S t a t e " > < H e i g h t > 1 5 0 < / H e i g h t > < I s E x p a n d e d > t r u e < / I s E x p a n d e d > < W i d t h > 2 0 0 < / W i d t h > < / a : V a l u e > < / a : K e y V a l u e O f D i a g r a m O b j e c t K e y a n y T y p e z b w N T n L X > < a : K e y V a l u e O f D i a g r a m O b j e c t K e y a n y T y p e z b w N T n L X > < a : K e y > < K e y > T a b l e s \ W i n t e r   d a i l y   s i t r e p s \ C o l u m n s \ c r i _ i d < / K e y > < / a : K e y > < a : V a l u e   i : t y p e = " D i a g r a m D i s p l a y N o d e V i e w S t a t e " > < H e i g h t > 1 5 0 < / H e i g h t > < I s E x p a n d e d > t r u e < / I s E x p a n d e d > < W i d t h > 2 0 0 < / W i d t h > < / a : V a l u e > < / a : K e y V a l u e O f D i a g r a m O b j e c t K e y a n y T y p e z b w N T n L X > < a : K e y V a l u e O f D i a g r a m O b j e c t K e y a n y T y p e z b w N T n L X > < a : K e y > < K e y > T a b l e s \ W i n t e r   d a i l y   s i t r e p s \ C o l u m n s \ d r _ i d < / K e y > < / a : K e y > < a : V a l u e   i : t y p e = " D i a g r a m D i s p l a y N o d e V i e w S t a t e " > < H e i g h t > 1 5 0 < / H e i g h t > < I s E x p a n d e d > t r u e < / I s E x p a n d e d > < W i d t h > 2 0 0 < / W i d t h > < / a : V a l u e > < / a : K e y V a l u e O f D i a g r a m O b j e c t K e y a n y T y p e z b w N T n L X > < a : K e y V a l u e O f D i a g r a m O b j e c t K e y a n y T y p e z b w N T n L X > < a : K e y > < K e y > T a b l e s \ W i n t e r   d a i l y   s i t r e p s \ C o l u m n s \ o r g _ i d < / K e y > < / a : K e y > < a : V a l u e   i : t y p e = " D i a g r a m D i s p l a y N o d e V i e w S t a t e " > < H e i g h t > 1 5 0 < / H e i g h t > < I s E x p a n d e d > t r u e < / I s E x p a n d e d > < W i d t h > 2 0 0 < / W i d t h > < / a : V a l u e > < / a : K e y V a l u e O f D i a g r a m O b j e c t K e y a n y T y p e z b w N T n L X > < a : K e y V a l u e O f D i a g r a m O b j e c t K e y a n y T y p e z b w N T n L X > < a : K e y > < K e y > T a b l e s \ W i n t e r   d a i l y   s i t r e p s \ C o l u m n s \ c r i _ d a t a p e r i o d s t a r t < / K e y > < / a : K e y > < a : V a l u e   i : t y p e = " D i a g r a m D i s p l a y N o d e V i e w S t a t e " > < H e i g h t > 1 5 0 < / H e i g h t > < I s E x p a n d e d > t r u e < / I s E x p a n d e d > < W i d t h > 2 0 0 < / W i d t h > < / a : V a l u e > < / a : K e y V a l u e O f D i a g r a m O b j e c t K e y a n y T y p e z b w N T n L X > < a : K e y V a l u e O f D i a g r a m O b j e c t K e y a n y T y p e z b w N T n L X > < a : K e y > < K e y > T a b l e s \ W i n t e r   d a i l y   s i t r e p s \ C o l u m n s \ C o d e < / K e y > < / a : K e y > < a : V a l u e   i : t y p e = " D i a g r a m D i s p l a y N o d e V i e w S t a t e " > < H e i g h t > 1 5 0 < / H e i g h t > < I s E x p a n d e d > t r u e < / I s E x p a n d e d > < W i d t h > 2 0 0 < / W i d t h > < / a : V a l u e > < / a : K e y V a l u e O f D i a g r a m O b j e c t K e y a n y T y p e z b w N T n L X > < a : K e y V a l u e O f D i a g r a m O b j e c t K e y a n y T y p e z b w N T n L X > < a : K e y > < K e y > T a b l e s \ W i n t e r   d a i l y   s i t r e p s \ C o l u m n s \ N a m e < / K e y > < / a : K e y > < a : V a l u e   i : t y p e = " D i a g r a m D i s p l a y N o d e V i e w S t a t e " > < H e i g h t > 1 5 0 < / H e i g h t > < I s E x p a n d e d > t r u e < / I s E x p a n d e d > < W i d t h > 2 0 0 < / W i d t h > < / a : V a l u e > < / a : K e y V a l u e O f D i a g r a m O b j e c t K e y a n y T y p e z b w N T n L X > < a : K e y V a l u e O f D i a g r a m O b j e c t K e y a n y T y p e z b w N T n L X > < a : K e y > < K e y > T a b l e s \ W i n t e r   d a i l y   s i t r e p s \ C o l u m n s \ D a t e < / K e y > < / a : K e y > < a : V a l u e   i : t y p e = " D i a g r a m D i s p l a y N o d e V i e w S t a t e " > < H e i g h t > 1 5 0 < / H e i g h t > < I s E x p a n d e d > t r u e < / I s E x p a n d e d > < W i d t h > 2 0 0 < / W i d t h > < / a : V a l u e > < / a : K e y V a l u e O f D i a g r a m O b j e c t K e y a n y T y p e z b w N T n L X > < a : K e y V a l u e O f D i a g r a m O b j e c t K e y a n y T y p e z b w N T n L X > < a : K e y > < K e y > T a b l e s \ W i n t e r   d a i l y   s i t r e p s \ C o l u m n s \ W e e k < / K e y > < / a : K e y > < a : V a l u e   i : t y p e = " D i a g r a m D i s p l a y N o d e V i e w S t a t e " > < H e i g h t > 1 5 0 < / H e i g h t > < I s E x p a n d e d > t r u e < / I s E x p a n d e d > < W i d t h > 2 0 0 < / W i d t h > < / a : V a l u e > < / a : K e y V a l u e O f D i a g r a m O b j e c t K e y a n y T y p e z b w N T n L X > < a : K e y V a l u e O f D i a g r a m O b j e c t K e y a n y T y p e z b w N T n L X > < a : K e y > < K e y > T a b l e s \ W i n t e r   d a i l y   s i t r e p s \ C o l u m n s \ D a y < / K e y > < / a : K e y > < a : V a l u e   i : t y p e = " D i a g r a m D i s p l a y N o d e V i e w S t a t e " > < H e i g h t > 1 5 0 < / H e i g h t > < I s E x p a n d e d > t r u e < / I s E x p a n d e d > < W i d t h > 2 0 0 < / W i d t h > < / a : V a l u e > < / a : K e y V a l u e O f D i a g r a m O b j e c t K e y a n y T y p e z b w N T n L X > < a : K e y V a l u e O f D i a g r a m O b j e c t K e y a n y T y p e z b w N T n L X > < a : K e y > < K e y > T a b l e s \ W i n t e r   d a i l y   s i t r e p s \ C o l u m n s \ B a n k   h o l i d a y < / K e y > < / a : K e y > < a : V a l u e   i : t y p e = " D i a g r a m D i s p l a y N o d e V i e w S t a t e " > < H e i g h t > 1 5 0 < / H e i g h t > < I s E x p a n d e d > t r u e < / I s E x p a n d e d > < W i d t h > 2 0 0 < / W i d t h > < / a : V a l u e > < / a : K e y V a l u e O f D i a g r a m O b j e c t K e y a n y T y p e z b w N T n L X > < a : K e y V a l u e O f D i a g r a m O b j e c t K e y a n y T y p e z b w N T n L X > < a : K e y > < K e y > T a b l e s \ W i n t e r   d a i l y   s i t r e p s \ C o l u m n s \ A E   c l o s u r e s < / K e y > < / a : K e y > < a : V a l u e   i : t y p e = " D i a g r a m D i s p l a y N o d e V i e w S t a t e " > < H e i g h t > 1 5 0 < / H e i g h t > < I s E x p a n d e d > t r u e < / I s E x p a n d e d > < W i d t h > 2 0 0 < / W i d t h > < / a : V a l u e > < / a : K e y V a l u e O f D i a g r a m O b j e c t K e y a n y T y p e z b w N T n L X > < a : K e y V a l u e O f D i a g r a m O b j e c t K e y a n y T y p e z b w N T n L X > < a : K e y > < K e y > T a b l e s \ W i n t e r   d a i l y   s i t r e p s \ C o l u m n s \ A E   d i v e r t s < / K e y > < / a : K e y > < a : V a l u e   i : t y p e = " D i a g r a m D i s p l a y N o d e V i e w S t a t e " > < H e i g h t > 1 5 0 < / H e i g h t > < I s E x p a n d e d > t r u e < / I s E x p a n d e d > < W i d t h > 2 0 0 < / W i d t h > < / a : V a l u e > < / a : K e y V a l u e O f D i a g r a m O b j e c t K e y a n y T y p e z b w N T n L X > < a : K e y V a l u e O f D i a g r a m O b j e c t K e y a n y T y p e z b w N T n L X > < a : K e y > < K e y > T a b l e s \ W i n t e r   d a i l y   s i t r e p s \ C o l u m n s \ A E   t y p e   1   a t t e n d a n c e s < / K e y > < / a : K e y > < a : V a l u e   i : t y p e = " D i a g r a m D i s p l a y N o d e V i e w S t a t e " > < H e i g h t > 1 5 0 < / H e i g h t > < I s E x p a n d e d > t r u e < / I s E x p a n d e d > < W i d t h > 2 0 0 < / W i d t h > < / a : V a l u e > < / a : K e y V a l u e O f D i a g r a m O b j e c t K e y a n y T y p e z b w N T n L X > < a : K e y V a l u e O f D i a g r a m O b j e c t K e y a n y T y p e z b w N T n L X > < a : K e y > < K e y > T a b l e s \ W i n t e r   d a i l y   s i t r e p s \ C o l u m n s \ A E   t y p e   2   a t t e n d a n c e s < / K e y > < / a : K e y > < a : V a l u e   i : t y p e = " D i a g r a m D i s p l a y N o d e V i e w S t a t e " > < H e i g h t > 1 5 0 < / H e i g h t > < I s E x p a n d e d > t r u e < / I s E x p a n d e d > < W i d t h > 2 0 0 < / W i d t h > < / a : V a l u e > < / a : K e y V a l u e O f D i a g r a m O b j e c t K e y a n y T y p e z b w N T n L X > < a : K e y V a l u e O f D i a g r a m O b j e c t K e y a n y T y p e z b w N T n L X > < a : K e y > < K e y > T a b l e s \ W i n t e r   d a i l y   s i t r e p s \ C o l u m n s \ A E   t y p e   3   a t t e n d a n c e s < / K e y > < / a : K e y > < a : V a l u e   i : t y p e = " D i a g r a m D i s p l a y N o d e V i e w S t a t e " > < H e i g h t > 1 5 0 < / H e i g h t > < I s E x p a n d e d > t r u e < / I s E x p a n d e d > < W i d t h > 2 0 0 < / W i d t h > < / a : V a l u e > < / a : K e y V a l u e O f D i a g r a m O b j e c t K e y a n y T y p e z b w N T n L X > < a : K e y V a l u e O f D i a g r a m O b j e c t K e y a n y T y p e z b w N T n L X > < a : K e y > < K e y > T a b l e s \ W i n t e r   d a i l y   s i t r e p s \ C o l u m n s \ A E   t o t a l   a t t e n d a n c e s < / K e y > < / a : K e y > < a : V a l u e   i : t y p e = " D i a g r a m D i s p l a y N o d e V i e w S t a t e " > < H e i g h t > 1 5 0 < / H e i g h t > < I s E x p a n d e d > t r u e < / I s E x p a n d e d > < W i d t h > 2 0 0 < / W i d t h > < / a : V a l u e > < / a : K e y V a l u e O f D i a g r a m O b j e c t K e y a n y T y p e z b w N T n L X > < a : K e y V a l u e O f D i a g r a m O b j e c t K e y a n y T y p e z b w N T n L X > < a : K e y > < K e y > T a b l e s \ W i n t e r   d a i l y   s i t r e p s \ C o l u m n s \ E m e r g e n c y   a d m i s s i o n s < / K e y > < / a : K e y > < a : V a l u e   i : t y p e = " D i a g r a m D i s p l a y N o d e V i e w S t a t e " > < H e i g h t > 1 5 0 < / H e i g h t > < I s E x p a n d e d > t r u e < / I s E x p a n d e d > < W i d t h > 2 0 0 < / W i d t h > < / a : V a l u e > < / a : K e y V a l u e O f D i a g r a m O b j e c t K e y a n y T y p e z b w N T n L X > < a : K e y V a l u e O f D i a g r a m O b j e c t K e y a n y T y p e z b w N T n L X > < a : K e y > < K e y > T a b l e s \ W i n t e r   d a i l y   s i t r e p s \ C o l u m n s \ G A   c o r e   b e d s   a v a i l < / K e y > < / a : K e y > < a : V a l u e   i : t y p e = " D i a g r a m D i s p l a y N o d e V i e w S t a t e " > < H e i g h t > 1 5 0 < / H e i g h t > < I s E x p a n d e d > t r u e < / I s E x p a n d e d > < W i d t h > 2 0 0 < / W i d t h > < / a : V a l u e > < / a : K e y V a l u e O f D i a g r a m O b j e c t K e y a n y T y p e z b w N T n L X > < a : K e y V a l u e O f D i a g r a m O b j e c t K e y a n y T y p e z b w N T n L X > < a : K e y > < K e y > T a b l e s \ W i n t e r   d a i l y   s i t r e p s \ C o l u m n s \ G A   e s c a l a t i o n   b e d s   a v a i l < / K e y > < / a : K e y > < a : V a l u e   i : t y p e = " D i a g r a m D i s p l a y N o d e V i e w S t a t e " > < H e i g h t > 1 5 0 < / H e i g h t > < I s E x p a n d e d > t r u e < / I s E x p a n d e d > < W i d t h > 2 0 0 < / W i d t h > < / a : V a l u e > < / a : K e y V a l u e O f D i a g r a m O b j e c t K e y a n y T y p e z b w N T n L X > < a : K e y V a l u e O f D i a g r a m O b j e c t K e y a n y T y p e z b w N T n L X > < a : K e y > < K e y > T a b l e s \ W i n t e r   d a i l y   s i t r e p s \ C o l u m n s \ G A   t o t a l   b e d s   a v a i l < / K e y > < / a : K e y > < a : V a l u e   i : t y p e = " D i a g r a m D i s p l a y N o d e V i e w S t a t e " > < H e i g h t > 1 5 0 < / H e i g h t > < I s E x p a n d e d > t r u e < / I s E x p a n d e d > < W i d t h > 2 0 0 < / W i d t h > < / a : V a l u e > < / a : K e y V a l u e O f D i a g r a m O b j e c t K e y a n y T y p e z b w N T n L X > < a : K e y V a l u e O f D i a g r a m O b j e c t K e y a n y T y p e z b w N T n L X > < a : K e y > < K e y > T a b l e s \ W i n t e r   d a i l y   s i t r e p s \ C o l u m n s \ G A   t o t a l   b e d s   o c c u p i e d < / K e y > < / a : K e y > < a : V a l u e   i : t y p e = " D i a g r a m D i s p l a y N o d e V i e w S t a t e " > < H e i g h t > 1 5 0 < / H e i g h t > < I s E x p a n d e d > t r u e < / I s E x p a n d e d > < W i d t h > 2 0 0 < / W i d t h > < / a : V a l u e > < / a : K e y V a l u e O f D i a g r a m O b j e c t K e y a n y T y p e z b w N T n L X > < a : K e y V a l u e O f D i a g r a m O b j e c t K e y a n y T y p e z b w N T n L X > < a : K e y > < K e y > T a b l e s \ W i n t e r   d a i l y   s i t r e p s \ C o l u m n s \ B e d s   c l o s e d   n o r o v i r u s < / K e y > < / a : K e y > < a : V a l u e   i : t y p e = " D i a g r a m D i s p l a y N o d e V i e w S t a t e " > < H e i g h t > 1 5 0 < / H e i g h t > < I s E x p a n d e d > t r u e < / I s E x p a n d e d > < W i d t h > 2 0 0 < / W i d t h > < / a : V a l u e > < / a : K e y V a l u e O f D i a g r a m O b j e c t K e y a n y T y p e z b w N T n L X > < a : K e y V a l u e O f D i a g r a m O b j e c t K e y a n y T y p e z b w N T n L X > < a : K e y > < K e y > T a b l e s \ W i n t e r   d a i l y   s i t r e p s \ C o l u m n s \ B e d s   c l o s e d   n o r o v i u s   u n o c c < / K e y > < / a : K e y > < a : V a l u e   i : t y p e = " D i a g r a m D i s p l a y N o d e V i e w S t a t e " > < H e i g h t > 1 5 0 < / H e i g h t > < I s E x p a n d e d > t r u e < / I s E x p a n d e d > < W i d t h > 2 0 0 < / W i d t h > < / a : V a l u e > < / a : K e y V a l u e O f D i a g r a m O b j e c t K e y a n y T y p e z b w N T n L X > < a : K e y V a l u e O f D i a g r a m O b j e c t K e y a n y T y p e z b w N T n L X > < a : K e y > < K e y > T a b l e s \ W i n t e r   d a i l y   s i t r e p s \ C o l u m n s \ A d u l t   C C   b e d s   a v a i l < / K e y > < / a : K e y > < a : V a l u e   i : t y p e = " D i a g r a m D i s p l a y N o d e V i e w S t a t e " > < H e i g h t > 1 5 0 < / H e i g h t > < I s E x p a n d e d > t r u e < / I s E x p a n d e d > < W i d t h > 2 0 0 < / W i d t h > < / a : V a l u e > < / a : K e y V a l u e O f D i a g r a m O b j e c t K e y a n y T y p e z b w N T n L X > < a : K e y V a l u e O f D i a g r a m O b j e c t K e y a n y T y p e z b w N T n L X > < a : K e y > < K e y > T a b l e s \ W i n t e r   d a i l y   s i t r e p s \ C o l u m n s \ A d u l t   C C   b e d s   o c c < / K e y > < / a : K e y > < a : V a l u e   i : t y p e = " D i a g r a m D i s p l a y N o d e V i e w S t a t e " > < H e i g h t > 1 5 0 < / H e i g h t > < I s E x p a n d e d > t r u e < / I s E x p a n d e d > < W i d t h > 2 0 0 < / W i d t h > < / a : V a l u e > < / a : K e y V a l u e O f D i a g r a m O b j e c t K e y a n y T y p e z b w N T n L X > < a : K e y V a l u e O f D i a g r a m O b j e c t K e y a n y T y p e z b w N T n L X > < a : K e y > < K e y > T a b l e s \ W i n t e r   d a i l y   s i t r e p s \ C o l u m n s \ P a e d   I n t   C a r e   A v a i l < / K e y > < / a : K e y > < a : V a l u e   i : t y p e = " D i a g r a m D i s p l a y N o d e V i e w S t a t e " > < H e i g h t > 1 5 0 < / H e i g h t > < I s E x p a n d e d > t r u e < / I s E x p a n d e d > < W i d t h > 2 0 0 < / W i d t h > < / a : V a l u e > < / a : K e y V a l u e O f D i a g r a m O b j e c t K e y a n y T y p e z b w N T n L X > < a : K e y V a l u e O f D i a g r a m O b j e c t K e y a n y T y p e z b w N T n L X > < a : K e y > < K e y > T a b l e s \ W i n t e r   d a i l y   s i t r e p s \ C o l u m n s \ P a e d   I n t   C a r e   O c c < / K e y > < / a : K e y > < a : V a l u e   i : t y p e = " D i a g r a m D i s p l a y N o d e V i e w S t a t e " > < H e i g h t > 1 5 0 < / H e i g h t > < I s E x p a n d e d > t r u e < / I s E x p a n d e d > < W i d t h > 2 0 0 < / W i d t h > < / a : V a l u e > < / a : K e y V a l u e O f D i a g r a m O b j e c t K e y a n y T y p e z b w N T n L X > < a : K e y V a l u e O f D i a g r a m O b j e c t K e y a n y T y p e z b w N T n L X > < a : K e y > < K e y > T a b l e s \ W i n t e r   d a i l y   s i t r e p s \ C o l u m n s \ N e o   I n t   C a r e   A v a i l < / K e y > < / a : K e y > < a : V a l u e   i : t y p e = " D i a g r a m D i s p l a y N o d e V i e w S t a t e " > < H e i g h t > 1 5 0 < / H e i g h t > < I s E x p a n d e d > t r u e < / I s E x p a n d e d > < W i d t h > 2 0 0 < / W i d t h > < / a : V a l u e > < / a : K e y V a l u e O f D i a g r a m O b j e c t K e y a n y T y p e z b w N T n L X > < a : K e y V a l u e O f D i a g r a m O b j e c t K e y a n y T y p e z b w N T n L X > < a : K e y > < K e y > T a b l e s \ W i n t e r   d a i l y   s i t r e p s \ C o l u m n s \ N e o   I n t   C a r e   o c c < / K e y > < / a : K e y > < a : V a l u e   i : t y p e = " D i a g r a m D i s p l a y N o d e V i e w S t a t e " > < H e i g h t > 1 5 0 < / H e i g h t > < I s E x p a n d e d > t r u e < / I s E x p a n d e d > < W i d t h > 2 0 0 < / W i d t h > < / a : V a l u e > < / a : K e y V a l u e O f D i a g r a m O b j e c t K e y a n y T y p e z b w N T n L X > < a : K e y V a l u e O f D i a g r a m O b j e c t K e y a n y T y p e z b w N T n L X > < a : K e y > < K e y > T a b l e s \ W i n t e r   d a i l y   s i t r e p s \ C o l u m n s \ O P E L   3   o r   a b o v e < / K e y > < / a : K e y > < a : V a l u e   i : t y p e = " D i a g r a m D i s p l a y N o d e V i e w S t a t e " > < H e i g h t > 1 5 0 < / H e i g h t > < I s E x p a n d e d > t r u e < / I s E x p a n d e d > < W i d t h > 2 0 0 < / W i d t h > < / a : V a l u e > < / a : K e y V a l u e O f D i a g r a m O b j e c t K e y a n y T y p e z b w N T n L X > < a : K e y V a l u e O f D i a g r a m O b j e c t K e y a n y T y p e z b w N T n L X > < a : K e y > < K e y > T a b l e s \ W i n t e r   d a i l y   s i t r e p s \ C o l u m n s \ W e e k e n d < / K e y > < / a : K e y > < a : V a l u e   i : t y p e = " D i a g r a m D i s p l a y N o d e V i e w S t a t e " > < H e i g h t > 1 5 0 < / H e i g h t > < I s E x p a n d e d > t r u e < / I s E x p a n d e d > < W i d t h > 2 0 0 < / W i d t h > < / a : V a l u e > < / a : K e y V a l u e O f D i a g r a m O b j e c t K e y a n y T y p e z b w N T n L X > < a : K e y V a l u e O f D i a g r a m O b j e c t K e y a n y T y p e z b w N T n L X > < a : K e y > < K e y > T a b l e s \ W i n t e r   d a i l y   s i t r e p s \ C o l u m n s \ R e g i o n < / K e y > < / a : K e y > < a : V a l u e   i : t y p e = " D i a g r a m D i s p l a y N o d e V i e w S t a t e " > < H e i g h t > 1 5 0 < / H e i g h t > < I s E x p a n d e d > t r u e < / I s E x p a n d e d > < W i d t h > 2 0 0 < / W i d t h > < / a : V a l u e > < / a : K e y V a l u e O f D i a g r a m O b j e c t K e y a n y T y p e z b w N T n L X > < a : K e y V a l u e O f D i a g r a m O b j e c t K e y a n y T y p e z b w N T n L X > < a : K e y > < K e y > T a b l e s \ W i n t e r   d a i l y   s i t r e p s \ C o l u m n s \ Y e a r < / K e y > < / a : K e y > < a : V a l u e   i : t y p e = " D i a g r a m D i s p l a y N o d e V i e w S t a t e " > < H e i g h t > 1 5 0 < / H e i g h t > < I s E x p a n d e d > t r u e < / I s E x p a n d e d > < W i d t h > 2 0 0 < / W i d t h > < / a : V a l u e > < / a : K e y V a l u e O f D i a g r a m O b j e c t K e y a n y T y p e z b w N T n L X > < a : K e y V a l u e O f D i a g r a m O b j e c t K e y a n y T y p e z b w N T n L X > < a : K e y > < K e y > T a b l e s \ W i n t e r   d a i l y   s i t r e p s \ C o l u m n s \ B e d s   o c c   o v e r   7   d a y s < / K e y > < / a : K e y > < a : V a l u e   i : t y p e = " D i a g r a m D i s p l a y N o d e V i e w S t a t e " > < H e i g h t > 1 5 0 < / H e i g h t > < I s E x p a n d e d > t r u e < / I s E x p a n d e d > < W i d t h > 2 0 0 < / W i d t h > < / a : V a l u e > < / a : K e y V a l u e O f D i a g r a m O b j e c t K e y a n y T y p e z b w N T n L X > < a : K e y V a l u e O f D i a g r a m O b j e c t K e y a n y T y p e z b w N T n L X > < a : K e y > < K e y > T a b l e s \ W i n t e r   d a i l y   s i t r e p s \ C o l u m n s \ B e d s   o c c   o v e r   2 1   d a y s < / K e y > < / a : K e y > < a : V a l u e   i : t y p e = " D i a g r a m D i s p l a y N o d e V i e w S t a t e " > < H e i g h t > 1 5 0 < / H e i g h t > < I s E x p a n d e d > t r u e < / I s E x p a n d e d > < W i d t h > 2 0 0 < / W i d t h > < / a : V a l u e > < / a : K e y V a l u e O f D i a g r a m O b j e c t K e y a n y T y p e z b w N T n L X > < a : K e y V a l u e O f D i a g r a m O b j e c t K e y a n y T y p e z b w N T n L X > < a : K e y > < K e y > T a b l e s \ W i n t e r   d a i l y   s i t r e p s \ C o l u m n s \ A m b   a r r i v a l s < / K e y > < / a : K e y > < a : V a l u e   i : t y p e = " D i a g r a m D i s p l a y N o d e V i e w S t a t e " > < H e i g h t > 1 5 0 < / H e i g h t > < I s E x p a n d e d > t r u e < / I s E x p a n d e d > < W i d t h > 2 0 0 < / W i d t h > < / a : V a l u e > < / a : K e y V a l u e O f D i a g r a m O b j e c t K e y a n y T y p e z b w N T n L X > < a : K e y V a l u e O f D i a g r a m O b j e c t K e y a n y T y p e z b w N T n L X > < a : K e y > < K e y > T a b l e s \ W i n t e r   d a i l y   s i t r e p s \ C o l u m n s \ A m b   d e l a y s   3 0 - 6 0   m i n s < / K e y > < / a : K e y > < a : V a l u e   i : t y p e = " D i a g r a m D i s p l a y N o d e V i e w S t a t e " > < H e i g h t > 1 5 0 < / H e i g h t > < I s E x p a n d e d > t r u e < / I s E x p a n d e d > < W i d t h > 2 0 0 < / W i d t h > < / a : V a l u e > < / a : K e y V a l u e O f D i a g r a m O b j e c t K e y a n y T y p e z b w N T n L X > < a : K e y V a l u e O f D i a g r a m O b j e c t K e y a n y T y p e z b w N T n L X > < a : K e y > < K e y > T a b l e s \ W i n t e r   d a i l y   s i t r e p s \ C o l u m n s \ A m b   d e l a y s   o v e r   6 0   m i n s < / K e y > < / a : K e y > < a : V a l u e   i : t y p e = " D i a g r a m D i s p l a y N o d e V i e w S t a t e " > < H e i g h t > 1 5 0 < / H e i g h t > < I s E x p a n d e d > t r u e < / I s E x p a n d e d > < W i d t h > 2 0 0 < / W i d t h > < / a : V a l u e > < / a : K e y V a l u e O f D i a g r a m O b j e c t K e y a n y T y p e z b w N T n L X > < a : K e y V a l u e O f D i a g r a m O b j e c t K e y a n y T y p e z b w N T n L X > < a : K e y > < K e y > T a b l e s \ W i n t e r   d a i l y   s i t r e p s \ C o l u m n s \ W e e k   l o n g < / K e y > < / a : K e y > < a : V a l u e   i : t y p e = " D i a g r a m D i s p l a y N o d e V i e w S t a t e " > < H e i g h t > 1 5 0 < / H e i g h t > < I s E x p a n d e d > t r u e < / I s E x p a n d e d > < W i d t h > 2 0 0 < / W i d t h > < / a : V a l u e > < / a : K e y V a l u e O f D i a g r a m O b j e c t K e y a n y T y p e z b w N T n L X > < a : K e y V a l u e O f D i a g r a m O b j e c t K e y a n y T y p e z b w N T n L X > < a : K e y > < K e y > T a b l e s \ W i n t e r   d a i l y   s i t r e p s \ C o l u m n s \ G A   b e d   o c c u p a n c y < / K e y > < / a : K e y > < a : V a l u e   i : t y p e = " D i a g r a m D i s p l a y N o d e V i e w S t a t e " > < H e i g h t > 1 5 0 < / H e i g h t > < I s E x p a n d e d > t r u e < / I s E x p a n d e d > < W i d t h > 2 0 0 < / W i d t h > < / a : V a l u e > < / a : K e y V a l u e O f D i a g r a m O b j e c t K e y a n y T y p e z b w N T n L X > < a : K e y V a l u e O f D i a g r a m O b j e c t K e y a n y T y p e z b w N T n L X > < a : K e y > < K e y > T a b l e s \ W i n t e r   d a i l y   s i t r e p s \ C o l u m n s \ B e d s   o c c   o v e r   1 4   d a y s < / K e y > < / a : K e y > < a : V a l u e   i : t y p e = " D i a g r a m D i s p l a y N o d e V i e w S t a t e " > < H e i g h t > 1 5 0 < / H e i g h t > < I s E x p a n d e d > t r u e < / I s E x p a n d e d > < W i d t h > 2 0 0 < / W i d t h > < / a : V a l u e > < / a : K e y V a l u e O f D i a g r a m O b j e c t K e y a n y T y p e z b w N T n L X > < a : K e y V a l u e O f D i a g r a m O b j e c t K e y a n y T y p e z b w N T n L X > < a : K e y > < K e y > T a b l e s \ W i n t e r   d a i l y   s i t r e p s \ M e a s u r e s \ S u m   o f   A E   d i v e r t s < / K e y > < / a : K e y > < a : V a l u e   i : t y p e = " D i a g r a m D i s p l a y N o d e V i e w S t a t e " > < H e i g h t > 1 5 0 < / H e i g h t > < I s E x p a n d e d > t r u e < / I s E x p a n d e d > < W i d t h > 2 0 0 < / W i d t h > < / a : V a l u e > < / a : K e y V a l u e O f D i a g r a m O b j e c t K e y a n y T y p e z b w N T n L X > < a : K e y V a l u e O f D i a g r a m O b j e c t K e y a n y T y p e z b w N T n L X > < a : K e y > < K e y > T a b l e s \ W i n t e r   d a i l y   s i t r e p s \ S u m   o f   A E   d i v e r t s \ A d d i t i o n a l   I n f o \ I m p l i c i t   M e a s u r e < / K e y > < / a : K e y > < a : V a l u e   i : t y p e = " D i a g r a m D i s p l a y V i e w S t a t e I D i a g r a m T a g A d d i t i o n a l I n f o " / > < / a : K e y V a l u e O f D i a g r a m O b j e c t K e y a n y T y p e z b w N T n L X > < a : K e y V a l u e O f D i a g r a m O b j e c t K e y a n y T y p e z b w N T n L X > < a : K e y > < K e y > T a b l e s \ W i n t e r   d a i l y   s i t r e p s \ M e a s u r e s \ S u m   o f   G A   t o t a l   b e d s   o c c u p i e d < / K e y > < / a : K e y > < a : V a l u e   i : t y p e = " D i a g r a m D i s p l a y N o d e V i e w S t a t e " > < H e i g h t > 1 5 0 < / H e i g h t > < I s E x p a n d e d > t r u e < / I s E x p a n d e d > < W i d t h > 2 0 0 < / W i d t h > < / a : V a l u e > < / a : K e y V a l u e O f D i a g r a m O b j e c t K e y a n y T y p e z b w N T n L X > < a : K e y V a l u e O f D i a g r a m O b j e c t K e y a n y T y p e z b w N T n L X > < a : K e y > < K e y > T a b l e s \ W i n t e r   d a i l y   s i t r e p s \ S u m   o f   G A   t o t a l   b e d s   o c c u p i e d \ A d d i t i o n a l   I n f o \ I m p l i c i t   M e a s u r e < / K e y > < / a : K e y > < a : V a l u e   i : t y p e = " D i a g r a m D i s p l a y V i e w S t a t e I D i a g r a m T a g A d d i t i o n a l I n f o " / > < / a : K e y V a l u e O f D i a g r a m O b j e c t K e y a n y T y p e z b w N T n L X > < a : K e y V a l u e O f D i a g r a m O b j e c t K e y a n y T y p e z b w N T n L X > < a : K e y > < K e y > T a b l e s \ W i n t e r   d a i l y   s i t r e p s \ M e a s u r e s \ A v e r a g e   o f   G A   t o t a l   b e d s   o c c u p i e d < / K e y > < / a : K e y > < a : V a l u e   i : t y p e = " D i a g r a m D i s p l a y N o d e V i e w S t a t e " > < H e i g h t > 1 5 0 < / H e i g h t > < I s E x p a n d e d > t r u e < / I s E x p a n d e d > < W i d t h > 2 0 0 < / W i d t h > < / a : V a l u e > < / a : K e y V a l u e O f D i a g r a m O b j e c t K e y a n y T y p e z b w N T n L X > < a : K e y V a l u e O f D i a g r a m O b j e c t K e y a n y T y p e z b w N T n L X > < a : K e y > < K e y > T a b l e s \ W i n t e r   d a i l y   s i t r e p s \ A v e r a g e   o f   G A   t o t a l   b e d s   o c c u p i e d \ A d d i t i o n a l   I n f o \ I m p l i c i t   M e a s u r e < / K e y > < / a : K e y > < a : V a l u e   i : t y p e = " D i a g r a m D i s p l a y V i e w S t a t e I D i a g r a m T a g A d d i t i o n a l I n f o " / > < / a : K e y V a l u e O f D i a g r a m O b j e c t K e y a n y T y p e z b w N T n L X > < a : K e y V a l u e O f D i a g r a m O b j e c t K e y a n y T y p e z b w N T n L X > < a : K e y > < K e y > T a b l e s \ W i n t e r   d a i l y   s i t r e p s \ M e a s u r e s \ S u m   o f   G A   t o t a l   b e d s   a v a i l < / K e y > < / a : K e y > < a : V a l u e   i : t y p e = " D i a g r a m D i s p l a y N o d e V i e w S t a t e " > < H e i g h t > 1 5 0 < / H e i g h t > < I s E x p a n d e d > t r u e < / I s E x p a n d e d > < W i d t h > 2 0 0 < / W i d t h > < / a : V a l u e > < / a : K e y V a l u e O f D i a g r a m O b j e c t K e y a n y T y p e z b w N T n L X > < a : K e y V a l u e O f D i a g r a m O b j e c t K e y a n y T y p e z b w N T n L X > < a : K e y > < K e y > T a b l e s \ W i n t e r   d a i l y   s i t r e p s \ S u m   o f   G A   t o t a l   b e d s   a v a i l \ A d d i t i o n a l   I n f o \ I m p l i c i t   M e a s u r e < / K e y > < / a : K e y > < a : V a l u e   i : t y p e = " D i a g r a m D i s p l a y V i e w S t a t e I D i a g r a m T a g A d d i t i o n a l I n f o " / > < / a : K e y V a l u e O f D i a g r a m O b j e c t K e y a n y T y p e z b w N T n L X > < a : K e y V a l u e O f D i a g r a m O b j e c t K e y a n y T y p e z b w N T n L X > < a : K e y > < K e y > T a b l e s \ W i n t e r   d a i l y   s i t r e p s \ M e a s u r e s \ S u m   o f   B e d s   o c c   o v e r   7   d a y s < / K e y > < / a : K e y > < a : V a l u e   i : t y p e = " D i a g r a m D i s p l a y N o d e V i e w S t a t e " > < H e i g h t > 1 5 0 < / H e i g h t > < I s E x p a n d e d > t r u e < / I s E x p a n d e d > < W i d t h > 2 0 0 < / W i d t h > < / a : V a l u e > < / a : K e y V a l u e O f D i a g r a m O b j e c t K e y a n y T y p e z b w N T n L X > < a : K e y V a l u e O f D i a g r a m O b j e c t K e y a n y T y p e z b w N T n L X > < a : K e y > < K e y > T a b l e s \ W i n t e r   d a i l y   s i t r e p s \ S u m   o f   B e d s   o c c   o v e r   7   d a y s \ A d d i t i o n a l   I n f o \ I m p l i c i t   M e a s u r e < / K e y > < / a : K e y > < a : V a l u e   i : t y p e = " D i a g r a m D i s p l a y V i e w S t a t e I D i a g r a m T a g A d d i t i o n a l I n f o " / > < / a : K e y V a l u e O f D i a g r a m O b j e c t K e y a n y T y p e z b w N T n L X > < a : K e y V a l u e O f D i a g r a m O b j e c t K e y a n y T y p e z b w N T n L X > < a : K e y > < K e y > T a b l e s \ W i n t e r   d a i l y   s i t r e p s \ M e a s u r e s \ S u m   o f   B e d s   o c c   o v e r   2 1   d a y s < / K e y > < / a : K e y > < a : V a l u e   i : t y p e = " D i a g r a m D i s p l a y N o d e V i e w S t a t e " > < H e i g h t > 1 5 0 < / H e i g h t > < I s E x p a n d e d > t r u e < / I s E x p a n d e d > < W i d t h > 2 0 0 < / W i d t h > < / a : V a l u e > < / a : K e y V a l u e O f D i a g r a m O b j e c t K e y a n y T y p e z b w N T n L X > < a : K e y V a l u e O f D i a g r a m O b j e c t K e y a n y T y p e z b w N T n L X > < a : K e y > < K e y > T a b l e s \ W i n t e r   d a i l y   s i t r e p s \ S u m   o f   B e d s   o c c   o v e r   2 1   d a y s \ A d d i t i o n a l   I n f o \ I m p l i c i t   M e a s u r e < / K e y > < / a : K e y > < a : V a l u e   i : t y p e = " D i a g r a m D i s p l a y V i e w S t a t e I D i a g r a m T a g A d d i t i o n a l I n f o " / > < / a : K e y V a l u e O f D i a g r a m O b j e c t K e y a n y T y p e z b w N T n L X > < a : K e y V a l u e O f D i a g r a m O b j e c t K e y a n y T y p e z b w N T n L X > < a : K e y > < K e y > T a b l e s \ W i n t e r   d a i l y   s i t r e p s \ M e a s u r e s \ A v e r a g e   o f   B e d s   o c c   o v e r   2 1   d a y s < / K e y > < / a : K e y > < a : V a l u e   i : t y p e = " D i a g r a m D i s p l a y N o d e V i e w S t a t e " > < H e i g h t > 1 5 0 < / H e i g h t > < I s E x p a n d e d > t r u e < / I s E x p a n d e d > < W i d t h > 2 0 0 < / W i d t h > < / a : V a l u e > < / a : K e y V a l u e O f D i a g r a m O b j e c t K e y a n y T y p e z b w N T n L X > < a : K e y V a l u e O f D i a g r a m O b j e c t K e y a n y T y p e z b w N T n L X > < a : K e y > < K e y > T a b l e s \ W i n t e r   d a i l y   s i t r e p s \ A v e r a g e   o f   B e d s   o c c   o v e r   2 1   d a y s \ A d d i t i o n a l   I n f o \ I m p l i c i t   M e a s u r e < / K e y > < / a : K e y > < a : V a l u e   i : t y p e = " D i a g r a m D i s p l a y V i e w S t a t e I D i a g r a m T a g A d d i t i o n a l I n f o " / > < / a : K e y V a l u e O f D i a g r a m O b j e c t K e y a n y T y p e z b w N T n L X > < a : K e y V a l u e O f D i a g r a m O b j e c t K e y a n y T y p e z b w N T n L X > < a : K e y > < K e y > T a b l e s \ W i n t e r   d a i l y   s i t r e p s \ M e a s u r e s \ S u m   o f   B e d s   c l o s e d   n o r o v i r u s < / K e y > < / a : K e y > < a : V a l u e   i : t y p e = " D i a g r a m D i s p l a y N o d e V i e w S t a t e " > < H e i g h t > 1 5 0 < / H e i g h t > < I s E x p a n d e d > t r u e < / I s E x p a n d e d > < W i d t h > 2 0 0 < / W i d t h > < / a : V a l u e > < / a : K e y V a l u e O f D i a g r a m O b j e c t K e y a n y T y p e z b w N T n L X > < a : K e y V a l u e O f D i a g r a m O b j e c t K e y a n y T y p e z b w N T n L X > < a : K e y > < K e y > T a b l e s \ W i n t e r   d a i l y   s i t r e p s \ S u m   o f   B e d s   c l o s e d   n o r o v i r u s \ A d d i t i o n a l   I n f o \ I m p l i c i t   M e a s u r e < / K e y > < / a : K e y > < a : V a l u e   i : t y p e = " D i a g r a m D i s p l a y V i e w S t a t e I D i a g r a m T a g A d d i t i o n a l I n f o " / > < / a : K e y V a l u e O f D i a g r a m O b j e c t K e y a n y T y p e z b w N T n L X > < a : K e y V a l u e O f D i a g r a m O b j e c t K e y a n y T y p e z b w N T n L X > < a : K e y > < K e y > T a b l e s \ W i n t e r   d a i l y   s i t r e p s \ M e a s u r e s \ A v e r a g e   o f   B e d s   c l o s e d   n o r o v i r u s < / K e y > < / a : K e y > < a : V a l u e   i : t y p e = " D i a g r a m D i s p l a y N o d e V i e w S t a t e " > < H e i g h t > 1 5 0 < / H e i g h t > < I s E x p a n d e d > t r u e < / I s E x p a n d e d > < W i d t h > 2 0 0 < / W i d t h > < / a : V a l u e > < / a : K e y V a l u e O f D i a g r a m O b j e c t K e y a n y T y p e z b w N T n L X > < a : K e y V a l u e O f D i a g r a m O b j e c t K e y a n y T y p e z b w N T n L X > < a : K e y > < K e y > T a b l e s \ W i n t e r   d a i l y   s i t r e p s \ A v e r a g e   o f   B e d s   c l o s e d   n o r o v i r u s \ A d d i t i o n a l   I n f o \ I m p l i c i t   M e a s u r e < / K e y > < / a : K e y > < a : V a l u e   i : t y p e = " D i a g r a m D i s p l a y V i e w S t a t e I D i a g r a m T a g A d d i t i o n a l I n f o " / > < / a : K e y V a l u e O f D i a g r a m O b j e c t K e y a n y T y p e z b w N T n L X > < a : K e y V a l u e O f D i a g r a m O b j e c t K e y a n y T y p e z b w N T n L X > < a : K e y > < K e y > T a b l e s \ W i n t e r   d a i l y   s i t r e p s \ M e a s u r e s \ S u m   o f   B e d s   c l o s e d   n o r o v i u s   u n o c c < / K e y > < / a : K e y > < a : V a l u e   i : t y p e = " D i a g r a m D i s p l a y N o d e V i e w S t a t e " > < H e i g h t > 1 5 0 < / H e i g h t > < I s E x p a n d e d > t r u e < / I s E x p a n d e d > < W i d t h > 2 0 0 < / W i d t h > < / a : V a l u e > < / a : K e y V a l u e O f D i a g r a m O b j e c t K e y a n y T y p e z b w N T n L X > < a : K e y V a l u e O f D i a g r a m O b j e c t K e y a n y T y p e z b w N T n L X > < a : K e y > < K e y > T a b l e s \ W i n t e r   d a i l y   s i t r e p s \ S u m   o f   B e d s   c l o s e d   n o r o v i u s   u n o c c \ A d d i t i o n a l   I n f o \ I m p l i c i t   M e a s u r e < / K e y > < / a : K e y > < a : V a l u e   i : t y p e = " D i a g r a m D i s p l a y V i e w S t a t e I D i a g r a m T a g A d d i t i o n a l I n f o " / > < / a : K e y V a l u e O f D i a g r a m O b j e c t K e y a n y T y p e z b w N T n L X > < a : K e y V a l u e O f D i a g r a m O b j e c t K e y a n y T y p e z b w N T n L X > < a : K e y > < K e y > T a b l e s \ W i n t e r   d a i l y   s i t r e p s \ M e a s u r e s \ S u m   o f   A m b   a r r i v a l s < / K e y > < / a : K e y > < a : V a l u e   i : t y p e = " D i a g r a m D i s p l a y N o d e V i e w S t a t e " > < H e i g h t > 1 5 0 < / H e i g h t > < I s E x p a n d e d > t r u e < / I s E x p a n d e d > < W i d t h > 2 0 0 < / W i d t h > < / a : V a l u e > < / a : K e y V a l u e O f D i a g r a m O b j e c t K e y a n y T y p e z b w N T n L X > < a : K e y V a l u e O f D i a g r a m O b j e c t K e y a n y T y p e z b w N T n L X > < a : K e y > < K e y > T a b l e s \ W i n t e r   d a i l y   s i t r e p s \ S u m   o f   A m b   a r r i v a l s \ A d d i t i o n a l   I n f o \ I m p l i c i t   M e a s u r e < / K e y > < / a : K e y > < a : V a l u e   i : t y p e = " D i a g r a m D i s p l a y V i e w S t a t e I D i a g r a m T a g A d d i t i o n a l I n f o " / > < / a : K e y V a l u e O f D i a g r a m O b j e c t K e y a n y T y p e z b w N T n L X > < a : K e y V a l u e O f D i a g r a m O b j e c t K e y a n y T y p e z b w N T n L X > < a : K e y > < K e y > T a b l e s \ W i n t e r   d a i l y   s i t r e p s \ M e a s u r e s \ S u m   o f   A m b   d e l a y s   3 0 - 6 0   m i n s < / K e y > < / a : K e y > < a : V a l u e   i : t y p e = " D i a g r a m D i s p l a y N o d e V i e w S t a t e " > < H e i g h t > 1 5 0 < / H e i g h t > < I s E x p a n d e d > t r u e < / I s E x p a n d e d > < W i d t h > 2 0 0 < / W i d t h > < / a : V a l u e > < / a : K e y V a l u e O f D i a g r a m O b j e c t K e y a n y T y p e z b w N T n L X > < a : K e y V a l u e O f D i a g r a m O b j e c t K e y a n y T y p e z b w N T n L X > < a : K e y > < K e y > T a b l e s \ W i n t e r   d a i l y   s i t r e p s \ S u m   o f   A m b   d e l a y s   3 0 - 6 0   m i n s \ A d d i t i o n a l   I n f o \ I m p l i c i t   M e a s u r e < / K e y > < / a : K e y > < a : V a l u e   i : t y p e = " D i a g r a m D i s p l a y V i e w S t a t e I D i a g r a m T a g A d d i t i o n a l I n f o " / > < / a : K e y V a l u e O f D i a g r a m O b j e c t K e y a n y T y p e z b w N T n L X > < a : K e y V a l u e O f D i a g r a m O b j e c t K e y a n y T y p e z b w N T n L X > < a : K e y > < K e y > T a b l e s \ W i n t e r   d a i l y   s i t r e p s \ M e a s u r e s \ S u m   o f   A m b   d e l a y s   o v e r   6 0   m i n s < / K e y > < / a : K e y > < a : V a l u e   i : t y p e = " D i a g r a m D i s p l a y N o d e V i e w S t a t e " > < H e i g h t > 1 5 0 < / H e i g h t > < I s E x p a n d e d > t r u e < / I s E x p a n d e d > < W i d t h > 2 0 0 < / W i d t h > < / a : V a l u e > < / a : K e y V a l u e O f D i a g r a m O b j e c t K e y a n y T y p e z b w N T n L X > < a : K e y V a l u e O f D i a g r a m O b j e c t K e y a n y T y p e z b w N T n L X > < a : K e y > < K e y > T a b l e s \ W i n t e r   d a i l y   s i t r e p s \ S u m   o f   A m b   d e l a y s   o v e r   6 0   m i n s \ A d d i t i o n a l   I n f o \ I m p l i c i t   M e a s u r e < / K e y > < / a : K e y > < a : V a l u e   i : t y p e = " D i a g r a m D i s p l a y V i e w S t a t e I D i a g r a m T a g A d d i t i o n a l I n f o " / > < / a : K e y V a l u e O f D i a g r a m O b j e c t K e y a n y T y p e z b w N T n L X > < a : K e y V a l u e O f D i a g r a m O b j e c t K e y a n y T y p e z b w N T n L X > < a : K e y > < K e y > T a b l e s \ W i n t e r   d a i l y   s i t r e p s \ M e a s u r e s \ S u m   o f   A d u l t   C C   b e d s   a v a i l < / K e y > < / a : K e y > < a : V a l u e   i : t y p e = " D i a g r a m D i s p l a y N o d e V i e w S t a t e " > < H e i g h t > 1 5 0 < / H e i g h t > < I s E x p a n d e d > t r u e < / I s E x p a n d e d > < W i d t h > 2 0 0 < / W i d t h > < / a : V a l u e > < / a : K e y V a l u e O f D i a g r a m O b j e c t K e y a n y T y p e z b w N T n L X > < a : K e y V a l u e O f D i a g r a m O b j e c t K e y a n y T y p e z b w N T n L X > < a : K e y > < K e y > T a b l e s \ W i n t e r   d a i l y   s i t r e p s \ S u m   o f   A d u l t   C C   b e d s   a v a i l \ A d d i t i o n a l   I n f o \ I m p l i c i t   M e a s u r e < / K e y > < / a : K e y > < a : V a l u e   i : t y p e = " D i a g r a m D i s p l a y V i e w S t a t e I D i a g r a m T a g A d d i t i o n a l I n f o " / > < / a : K e y V a l u e O f D i a g r a m O b j e c t K e y a n y T y p e z b w N T n L X > < a : K e y V a l u e O f D i a g r a m O b j e c t K e y a n y T y p e z b w N T n L X > < a : K e y > < K e y > T a b l e s \ W i n t e r   d a i l y   s i t r e p s \ M e a s u r e s \ S u m   o f   A d u l t   C C   b e d s   o c c < / K e y > < / a : K e y > < a : V a l u e   i : t y p e = " D i a g r a m D i s p l a y N o d e V i e w S t a t e " > < H e i g h t > 1 5 0 < / H e i g h t > < I s E x p a n d e d > t r u e < / I s E x p a n d e d > < W i d t h > 2 0 0 < / W i d t h > < / a : V a l u e > < / a : K e y V a l u e O f D i a g r a m O b j e c t K e y a n y T y p e z b w N T n L X > < a : K e y V a l u e O f D i a g r a m O b j e c t K e y a n y T y p e z b w N T n L X > < a : K e y > < K e y > T a b l e s \ W i n t e r   d a i l y   s i t r e p s \ S u m   o f   A d u l t   C C   b e d s   o c c \ A d d i t i o n a l   I n f o \ I m p l i c i t   M e a s u r e < / K e y > < / a : K e y > < a : V a l u e   i : t y p e = " D i a g r a m D i s p l a y V i e w S t a t e I D i a g r a m T a g A d d i t i o n a l I n f o " / > < / a : K e y V a l u e O f D i a g r a m O b j e c t K e y a n y T y p e z b w N T n L X > < a : K e y V a l u e O f D i a g r a m O b j e c t K e y a n y T y p e z b w N T n L X > < a : K e y > < K e y > T a b l e s \ W i n t e r   d a i l y   s i t r e p s \ M e a s u r e s \ S u m   o f   P a e d   I n t   C a r e   A v a i l < / K e y > < / a : K e y > < a : V a l u e   i : t y p e = " D i a g r a m D i s p l a y N o d e V i e w S t a t e " > < H e i g h t > 1 5 0 < / H e i g h t > < I s E x p a n d e d > t r u e < / I s E x p a n d e d > < W i d t h > 2 0 0 < / W i d t h > < / a : V a l u e > < / a : K e y V a l u e O f D i a g r a m O b j e c t K e y a n y T y p e z b w N T n L X > < a : K e y V a l u e O f D i a g r a m O b j e c t K e y a n y T y p e z b w N T n L X > < a : K e y > < K e y > T a b l e s \ W i n t e r   d a i l y   s i t r e p s \ S u m   o f   P a e d   I n t   C a r e   A v a i l \ A d d i t i o n a l   I n f o \ I m p l i c i t   M e a s u r e < / K e y > < / a : K e y > < a : V a l u e   i : t y p e = " D i a g r a m D i s p l a y V i e w S t a t e I D i a g r a m T a g A d d i t i o n a l I n f o " / > < / a : K e y V a l u e O f D i a g r a m O b j e c t K e y a n y T y p e z b w N T n L X > < a : K e y V a l u e O f D i a g r a m O b j e c t K e y a n y T y p e z b w N T n L X > < a : K e y > < K e y > T a b l e s \ W i n t e r   d a i l y   s i t r e p s \ M e a s u r e s \ S u m   o f   P a e d   I n t   C a r e   O c c < / K e y > < / a : K e y > < a : V a l u e   i : t y p e = " D i a g r a m D i s p l a y N o d e V i e w S t a t e " > < H e i g h t > 1 5 0 < / H e i g h t > < I s E x p a n d e d > t r u e < / I s E x p a n d e d > < W i d t h > 2 0 0 < / W i d t h > < / a : V a l u e > < / a : K e y V a l u e O f D i a g r a m O b j e c t K e y a n y T y p e z b w N T n L X > < a : K e y V a l u e O f D i a g r a m O b j e c t K e y a n y T y p e z b w N T n L X > < a : K e y > < K e y > T a b l e s \ W i n t e r   d a i l y   s i t r e p s \ S u m   o f   P a e d   I n t   C a r e   O c c \ A d d i t i o n a l   I n f o \ I m p l i c i t   M e a s u r e < / K e y > < / a : K e y > < a : V a l u e   i : t y p e = " D i a g r a m D i s p l a y V i e w S t a t e I D i a g r a m T a g A d d i t i o n a l I n f o " / > < / a : K e y V a l u e O f D i a g r a m O b j e c t K e y a n y T y p e z b w N T n L X > < a : K e y V a l u e O f D i a g r a m O b j e c t K e y a n y T y p e z b w N T n L X > < a : K e y > < K e y > T a b l e s \ W i n t e r   d a i l y   s i t r e p s \ M e a s u r e s \ S u m   o f   N e o   I n t   C a r e   A v a i l < / K e y > < / a : K e y > < a : V a l u e   i : t y p e = " D i a g r a m D i s p l a y N o d e V i e w S t a t e " > < H e i g h t > 1 5 0 < / H e i g h t > < I s E x p a n d e d > t r u e < / I s E x p a n d e d > < W i d t h > 2 0 0 < / W i d t h > < / a : V a l u e > < / a : K e y V a l u e O f D i a g r a m O b j e c t K e y a n y T y p e z b w N T n L X > < a : K e y V a l u e O f D i a g r a m O b j e c t K e y a n y T y p e z b w N T n L X > < a : K e y > < K e y > T a b l e s \ W i n t e r   d a i l y   s i t r e p s \ S u m   o f   N e o   I n t   C a r e   A v a i l \ A d d i t i o n a l   I n f o \ I m p l i c i t   M e a s u r e < / K e y > < / a : K e y > < a : V a l u e   i : t y p e = " D i a g r a m D i s p l a y V i e w S t a t e I D i a g r a m T a g A d d i t i o n a l I n f o " / > < / a : K e y V a l u e O f D i a g r a m O b j e c t K e y a n y T y p e z b w N T n L X > < a : K e y V a l u e O f D i a g r a m O b j e c t K e y a n y T y p e z b w N T n L X > < a : K e y > < K e y > T a b l e s \ W i n t e r   d a i l y   s i t r e p s \ M e a s u r e s \ S u m   o f   N e o   I n t   C a r e   o c c < / K e y > < / a : K e y > < a : V a l u e   i : t y p e = " D i a g r a m D i s p l a y N o d e V i e w S t a t e " > < H e i g h t > 1 5 0 < / H e i g h t > < I s E x p a n d e d > t r u e < / I s E x p a n d e d > < W i d t h > 2 0 0 < / W i d t h > < / a : V a l u e > < / a : K e y V a l u e O f D i a g r a m O b j e c t K e y a n y T y p e z b w N T n L X > < a : K e y V a l u e O f D i a g r a m O b j e c t K e y a n y T y p e z b w N T n L X > < a : K e y > < K e y > T a b l e s \ W i n t e r   d a i l y   s i t r e p s \ S u m   o f   N e o   I n t   C a r e   o c c \ A d d i t i o n a l   I n f o \ I m p l i c i t   M e a s u r e < / K e y > < / a : K e y > < a : V a l u e   i : t y p e = " D i a g r a m D i s p l a y V i e w S t a t e I D i a g r a m T a g A d d i t i o n a l I n f o " / > < / a : K e y V a l u e O f D i a g r a m O b j e c t K e y a n y T y p e z b w N T n L X > < a : K e y V a l u e O f D i a g r a m O b j e c t K e y a n y T y p e z b w N T n L X > < a : K e y > < K e y > T a b l e s \ W i n t e r   d a i l y   s i t r e p s \ M e a s u r e s \ A v e r a g e   o f   N e o   I n t   C a r e   A v a i l < / K e y > < / a : K e y > < a : V a l u e   i : t y p e = " D i a g r a m D i s p l a y N o d e V i e w S t a t e " > < H e i g h t > 1 5 0 < / H e i g h t > < I s E x p a n d e d > t r u e < / I s E x p a n d e d > < W i d t h > 2 0 0 < / W i d t h > < / a : V a l u e > < / a : K e y V a l u e O f D i a g r a m O b j e c t K e y a n y T y p e z b w N T n L X > < a : K e y V a l u e O f D i a g r a m O b j e c t K e y a n y T y p e z b w N T n L X > < a : K e y > < K e y > T a b l e s \ W i n t e r   d a i l y   s i t r e p s \ A v e r a g e   o f   N e o   I n t   C a r e   A v a i l \ A d d i t i o n a l   I n f o \ I m p l i c i t   M e a s u r e < / K e y > < / a : K e y > < a : V a l u e   i : t y p e = " D i a g r a m D i s p l a y V i e w S t a t e I D i a g r a m T a g A d d i t i o n a l I n f o " / > < / a : K e y V a l u e O f D i a g r a m O b j e c t K e y a n y T y p e z b w N T n L X > < a : K e y V a l u e O f D i a g r a m O b j e c t K e y a n y T y p e z b w N T n L X > < a : K e y > < K e y > T a b l e s \ W i n t e r   d a i l y   s i t r e p s \ M e a s u r e s \ A v e r a g e   o f   N e o   I n t   C a r e   o c c < / K e y > < / a : K e y > < a : V a l u e   i : t y p e = " D i a g r a m D i s p l a y N o d e V i e w S t a t e " > < H e i g h t > 1 5 0 < / H e i g h t > < I s E x p a n d e d > t r u e < / I s E x p a n d e d > < W i d t h > 2 0 0 < / W i d t h > < / a : V a l u e > < / a : K e y V a l u e O f D i a g r a m O b j e c t K e y a n y T y p e z b w N T n L X > < a : K e y V a l u e O f D i a g r a m O b j e c t K e y a n y T y p e z b w N T n L X > < a : K e y > < K e y > T a b l e s \ W i n t e r   d a i l y   s i t r e p s \ A v e r a g e   o f   N e o   I n t   C a r e   o c c \ A d d i t i o n a l   I n f o \ I m p l i c i t   M e a s u r e < / K e y > < / a : K e y > < a : V a l u e   i : t y p e = " D i a g r a m D i s p l a y V i e w S t a t e I D i a g r a m T a g A d d i t i o n a l I n f o " / > < / a : K e y V a l u e O f D i a g r a m O b j e c t K e y a n y T y p e z b w N T n L X > < a : K e y V a l u e O f D i a g r a m O b j e c t K e y a n y T y p e z b w N T n L X > < a : K e y > < K e y > T a b l e s \ W i n t e r   d a i l y   s i t r e p s \ M e a s u r e s \ S u m   o f   G A   b e d   o c c u p a n c y < / K e y > < / a : K e y > < a : V a l u e   i : t y p e = " D i a g r a m D i s p l a y N o d e V i e w S t a t e " > < H e i g h t > 1 5 0 < / H e i g h t > < I s E x p a n d e d > t r u e < / I s E x p a n d e d > < W i d t h > 2 0 0 < / W i d t h > < / a : V a l u e > < / a : K e y V a l u e O f D i a g r a m O b j e c t K e y a n y T y p e z b w N T n L X > < a : K e y V a l u e O f D i a g r a m O b j e c t K e y a n y T y p e z b w N T n L X > < a : K e y > < K e y > T a b l e s \ W i n t e r   d a i l y   s i t r e p s \ S u m   o f   G A   b e d   o c c u p a n c y \ A d d i t i o n a l   I n f o \ I m p l i c i t   M e a s u r e < / K e y > < / a : K e y > < a : V a l u e   i : t y p e = " D i a g r a m D i s p l a y V i e w S t a t e I D i a g r a m T a g A d d i t i o n a l I n f o " / > < / a : K e y V a l u e O f D i a g r a m O b j e c t K e y a n y T y p e z b w N T n L X > < a : K e y V a l u e O f D i a g r a m O b j e c t K e y a n y T y p e z b w N T n L X > < a : K e y > < K e y > T a b l e s \ W i n t e r   d a i l y   s i t r e p s \ M e a s u r e s \ A v e r a g e   o f   G A   b e d   o c c u p a n c y < / K e y > < / a : K e y > < a : V a l u e   i : t y p e = " D i a g r a m D i s p l a y N o d e V i e w S t a t e " > < H e i g h t > 1 5 0 < / H e i g h t > < I s E x p a n d e d > t r u e < / I s E x p a n d e d > < W i d t h > 2 0 0 < / W i d t h > < / a : V a l u e > < / a : K e y V a l u e O f D i a g r a m O b j e c t K e y a n y T y p e z b w N T n L X > < a : K e y V a l u e O f D i a g r a m O b j e c t K e y a n y T y p e z b w N T n L X > < a : K e y > < K e y > T a b l e s \ W i n t e r   d a i l y   s i t r e p s \ A v e r a g e   o f   G A   b e d   o c c u p a n c y \ A d d i t i o n a l   I n f o \ I m p l i c i t   M e a s u r e < / K e y > < / a : K e y > < a : V a l u e   i : t y p e = " D i a g r a m D i s p l a y V i e w S t a t e I D i a g r a m T a g A d d i t i o n a l I n f o " / > < / a : K e y V a l u e O f D i a g r a m O b j e c t K e y a n y T y p e z b w N T n L X > < a : K e y V a l u e O f D i a g r a m O b j e c t K e y a n y T y p e z b w N T n L X > < a : K e y > < K e y > T a b l e s \ W i n t e r   d a i l y   s i t r e p s \ M e a s u r e s \ S u m   o f   G A   c o r e   b e d s   a v a i l < / K e y > < / a : K e y > < a : V a l u e   i : t y p e = " D i a g r a m D i s p l a y N o d e V i e w S t a t e " > < H e i g h t > 1 5 0 < / H e i g h t > < I s E x p a n d e d > t r u e < / I s E x p a n d e d > < W i d t h > 2 0 0 < / W i d t h > < / a : V a l u e > < / a : K e y V a l u e O f D i a g r a m O b j e c t K e y a n y T y p e z b w N T n L X > < a : K e y V a l u e O f D i a g r a m O b j e c t K e y a n y T y p e z b w N T n L X > < a : K e y > < K e y > T a b l e s \ W i n t e r   d a i l y   s i t r e p s \ S u m   o f   G A   c o r e   b e d s   a v a i l \ A d d i t i o n a l   I n f o \ I m p l i c i t   M e a s u r e < / K e y > < / a : K e y > < a : V a l u e   i : t y p e = " D i a g r a m D i s p l a y V i e w S t a t e I D i a g r a m T a g A d d i t i o n a l I n f o " / > < / a : K e y V a l u e O f D i a g r a m O b j e c t K e y a n y T y p e z b w N T n L X > < a : K e y V a l u e O f D i a g r a m O b j e c t K e y a n y T y p e z b w N T n L X > < a : K e y > < K e y > T a b l e s \ W i n t e r   d a i l y   s i t r e p s \ M e a s u r e s \ S u m   o f   G A   e s c a l a t i o n   b e d s   a v a i l < / K e y > < / a : K e y > < a : V a l u e   i : t y p e = " D i a g r a m D i s p l a y N o d e V i e w S t a t e " > < H e i g h t > 1 5 0 < / H e i g h t > < I s E x p a n d e d > t r u e < / I s E x p a n d e d > < W i d t h > 2 0 0 < / W i d t h > < / a : V a l u e > < / a : K e y V a l u e O f D i a g r a m O b j e c t K e y a n y T y p e z b w N T n L X > < a : K e y V a l u e O f D i a g r a m O b j e c t K e y a n y T y p e z b w N T n L X > < a : K e y > < K e y > T a b l e s \ W i n t e r   d a i l y   s i t r e p s \ S u m   o f   G A   e s c a l a t i o n   b e d s   a v a i l \ A d d i t i o n a l   I n f o \ I m p l i c i t   M e a s u r e < / K e y > < / a : K e y > < a : V a l u e   i : t y p e = " D i a g r a m D i s p l a y V i e w S t a t e I D i a g r a m T a g A d d i t i o n a l I n f o " / > < / a : K e y V a l u e O f D i a g r a m O b j e c t K e y a n y T y p e z b w N T n L X > < a : K e y V a l u e O f D i a g r a m O b j e c t K e y a n y T y p e z b w N T n L X > < a : K e y > < K e y > T a b l e s \ W i n t e r   d a i l y   s i t r e p s \ M e a s u r e s \ S u m   o f   B e d s   o c c   o v e r   1 4   d a y s   2 < / K e y > < / a : K e y > < a : V a l u e   i : t y p e = " D i a g r a m D i s p l a y N o d e V i e w S t a t e " > < H e i g h t > 1 5 0 < / H e i g h t > < I s E x p a n d e d > t r u e < / I s E x p a n d e d > < W i d t h > 2 0 0 < / W i d t h > < / a : V a l u e > < / a : K e y V a l u e O f D i a g r a m O b j e c t K e y a n y T y p e z b w N T n L X > < a : K e y V a l u e O f D i a g r a m O b j e c t K e y a n y T y p e z b w N T n L X > < a : K e y > < K e y > T a b l e s \ W i n t e r   d a i l y   s i t r e p s \ S u m   o f   B e d s   o c c   o v e r   1 4   d a y s   2 \ A d d i t i o n a l   I n f o \ I m p l i c i t   M e a s u r e < / K e y > < / a : K e y > < a : V a l u e   i : t y p e = " D i a g r a m D i s p l a y V i e w S t a t e I D i a g r a m T a g A d d i t i o n a l I n f o " / > < / a : K e y V a l u e O f D i a g r a m O b j e c t K e y a n y T y p e z b w N T n L X > < a : K e y V a l u e O f D i a g r a m O b j e c t K e y a n y T y p e z b w N T n L X > < a : K e y > < K e y > T a b l e s \ W i n t e r   b e d   o c c   o v e r   1 4   d a y s < / K e y > < / a : K e y > < a : V a l u e   i : t y p e = " D i a g r a m D i s p l a y N o d e V i e w S t a t e " > < H e i g h t > 1 5 0 < / H e i g h t > < I s E x p a n d e d > t r u e < / I s E x p a n d e d > < L a y e d O u t > t r u e < / L a y e d O u t > < L e f t > 3 2 9 . 9 0 3 8 1 0 5 6 7 6 6 5 8 < / L e f t > < S c r o l l V e r t i c a l O f f s e t > 5 9 5 < / S c r o l l V e r t i c a l O f f s e t > < T a b I n d e x > 1 < / T a b I n d e x > < W i d t h > 2 0 0 < / W i d t h > < / a : V a l u e > < / a : K e y V a l u e O f D i a g r a m O b j e c t K e y a n y T y p e z b w N T n L X > < a : K e y V a l u e O f D i a g r a m O b j e c t K e y a n y T y p e z b w N T n L X > < a : K e y > < K e y > T a b l e s \ W i n t e r   b e d   o c c   o v e r   1 4   d a y s \ C o l u m n s \ R e g i o n < / K e y > < / a : K e y > < a : V a l u e   i : t y p e = " D i a g r a m D i s p l a y N o d e V i e w S t a t e " > < H e i g h t > 1 5 0 < / H e i g h t > < I s E x p a n d e d > t r u e < / I s E x p a n d e d > < W i d t h > 2 0 0 < / W i d t h > < / a : V a l u e > < / a : K e y V a l u e O f D i a g r a m O b j e c t K e y a n y T y p e z b w N T n L X > < a : K e y V a l u e O f D i a g r a m O b j e c t K e y a n y T y p e z b w N T n L X > < a : K e y > < K e y > T a b l e s \ W i n t e r   b e d   o c c   o v e r   1 4   d a y s \ C o l u m n s \ C o d e < / K e y > < / a : K e y > < a : V a l u e   i : t y p e = " D i a g r a m D i s p l a y N o d e V i e w S t a t e " > < H e i g h t > 1 5 0 < / H e i g h t > < I s E x p a n d e d > t r u e < / I s E x p a n d e d > < W i d t h > 2 0 0 < / W i d t h > < / a : V a l u e > < / a : K e y V a l u e O f D i a g r a m O b j e c t K e y a n y T y p e z b w N T n L X > < a : K e y V a l u e O f D i a g r a m O b j e c t K e y a n y T y p e z b w N T n L X > < a : K e y > < K e y > T a b l e s \ W i n t e r   b e d   o c c   o v e r   1 4   d a y s \ C o l u m n s \ N a m e < / K e y > < / a : K e y > < a : V a l u e   i : t y p e = " D i a g r a m D i s p l a y N o d e V i e w S t a t e " > < H e i g h t > 1 5 0 < / H e i g h t > < I s E x p a n d e d > t r u e < / I s E x p a n d e d > < W i d t h > 2 0 0 < / W i d t h > < / a : V a l u e > < / a : K e y V a l u e O f D i a g r a m O b j e c t K e y a n y T y p e z b w N T n L X > < a : K e y V a l u e O f D i a g r a m O b j e c t K e y a n y T y p e z b w N T n L X > < a : K e y > < K e y > T a b l e s \ W i n t e r   b e d   o c c   o v e r   1 4   d a y s \ C o l u m n s \ Y e a r < / K e y > < / a : K e y > < a : V a l u e   i : t y p e = " D i a g r a m D i s p l a y N o d e V i e w S t a t e " > < H e i g h t > 1 5 0 < / H e i g h t > < I s E x p a n d e d > t r u e < / I s E x p a n d e d > < W i d t h > 2 0 0 < / W i d t h > < / a : V a l u e > < / a : K e y V a l u e O f D i a g r a m O b j e c t K e y a n y T y p e z b w N T n L X > < a : K e y V a l u e O f D i a g r a m O b j e c t K e y a n y T y p e z b w N T n L X > < a : K e y > < K e y > T a b l e s \ W i n t e r   b e d   o c c   o v e r   1 4   d a y s \ C o l u m n s \ D a t e < / K e y > < / a : K e y > < a : V a l u e   i : t y p e = " D i a g r a m D i s p l a y N o d e V i e w S t a t e " > < H e i g h t > 1 5 0 < / H e i g h t > < I s E x p a n d e d > t r u e < / I s E x p a n d e d > < W i d t h > 2 0 0 < / W i d t h > < / a : V a l u e > < / a : K e y V a l u e O f D i a g r a m O b j e c t K e y a n y T y p e z b w N T n L X > < a : K e y V a l u e O f D i a g r a m O b j e c t K e y a n y T y p e z b w N T n L X > < a : K e y > < K e y > T a b l e s \ W i n t e r   b e d   o c c   o v e r   1 4   d a y s \ C o l u m n s \ W e e k < / K e y > < / a : K e y > < a : V a l u e   i : t y p e = " D i a g r a m D i s p l a y N o d e V i e w S t a t e " > < H e i g h t > 1 5 0 < / H e i g h t > < I s E x p a n d e d > t r u e < / I s E x p a n d e d > < W i d t h > 2 0 0 < / W i d t h > < / a : V a l u e > < / a : K e y V a l u e O f D i a g r a m O b j e c t K e y a n y T y p e z b w N T n L X > < a : K e y V a l u e O f D i a g r a m O b j e c t K e y a n y T y p e z b w N T n L X > < a : K e y > < K e y > T a b l e s \ W i n t e r   b e d   o c c   o v e r   1 4   d a y s \ C o l u m n s \ D a y < / K e y > < / a : K e y > < a : V a l u e   i : t y p e = " D i a g r a m D i s p l a y N o d e V i e w S t a t e " > < H e i g h t > 1 5 0 < / H e i g h t > < I s E x p a n d e d > t r u e < / I s E x p a n d e d > < W i d t h > 2 0 0 < / W i d t h > < / a : V a l u e > < / a : K e y V a l u e O f D i a g r a m O b j e c t K e y a n y T y p e z b w N T n L X > < a : K e y V a l u e O f D i a g r a m O b j e c t K e y a n y T y p e z b w N T n L X > < a : K e y > < K e y > T a b l e s \ W i n t e r   b e d   o c c   o v e r   1 4   d a y s \ C o l u m n s \ W e e k e n d < / K e y > < / a : K e y > < a : V a l u e   i : t y p e = " D i a g r a m D i s p l a y N o d e V i e w S t a t e " > < H e i g h t > 1 5 0 < / H e i g h t > < I s E x p a n d e d > t r u e < / I s E x p a n d e d > < W i d t h > 2 0 0 < / W i d t h > < / a : V a l u e > < / a : K e y V a l u e O f D i a g r a m O b j e c t K e y a n y T y p e z b w N T n L X > < a : K e y V a l u e O f D i a g r a m O b j e c t K e y a n y T y p e z b w N T n L X > < a : K e y > < K e y > T a b l e s \ W i n t e r   b e d   o c c   o v e r   1 4   d a y s \ C o l u m n s \ B a n k   h o l i d a y < / K e y > < / a : K e y > < a : V a l u e   i : t y p e = " D i a g r a m D i s p l a y N o d e V i e w S t a t e " > < H e i g h t > 1 5 0 < / H e i g h t > < I s E x p a n d e d > t r u e < / I s E x p a n d e d > < W i d t h > 2 0 0 < / W i d t h > < / a : V a l u e > < / a : K e y V a l u e O f D i a g r a m O b j e c t K e y a n y T y p e z b w N T n L X > < a : K e y V a l u e O f D i a g r a m O b j e c t K e y a n y T y p e z b w N T n L X > < a : K e y > < K e y > T a b l e s \ W i n t e r   b e d   o c c   o v e r   1 4   d a y s \ C o l u m n s \ A   E   c l o s u r e s < / K e y > < / a : K e y > < a : V a l u e   i : t y p e = " D i a g r a m D i s p l a y N o d e V i e w S t a t e " > < H e i g h t > 1 5 0 < / H e i g h t > < I s E x p a n d e d > t r u e < / I s E x p a n d e d > < W i d t h > 2 0 0 < / W i d t h > < / a : V a l u e > < / a : K e y V a l u e O f D i a g r a m O b j e c t K e y a n y T y p e z b w N T n L X > < a : K e y V a l u e O f D i a g r a m O b j e c t K e y a n y T y p e z b w N T n L X > < a : K e y > < K e y > T a b l e s \ W i n t e r   b e d   o c c   o v e r   1 4   d a y s \ C o l u m n s \ A   E   d i v e r t s < / K e y > < / a : K e y > < a : V a l u e   i : t y p e = " D i a g r a m D i s p l a y N o d e V i e w S t a t e " > < H e i g h t > 1 5 0 < / H e i g h t > < I s E x p a n d e d > t r u e < / I s E x p a n d e d > < W i d t h > 2 0 0 < / W i d t h > < / a : V a l u e > < / a : K e y V a l u e O f D i a g r a m O b j e c t K e y a n y T y p e z b w N T n L X > < a : K e y V a l u e O f D i a g r a m O b j e c t K e y a n y T y p e z b w N T n L X > < a : K e y > < K e y > T a b l e s \ W i n t e r   b e d   o c c   o v e r   1 4   d a y s \ C o l u m n s \ G   A   c o r e   b e d s   a v a i l < / K e y > < / a : K e y > < a : V a l u e   i : t y p e = " D i a g r a m D i s p l a y N o d e V i e w S t a t e " > < H e i g h t > 1 5 0 < / H e i g h t > < I s E x p a n d e d > t r u e < / I s E x p a n d e d > < W i d t h > 2 0 0 < / W i d t h > < / a : V a l u e > < / a : K e y V a l u e O f D i a g r a m O b j e c t K e y a n y T y p e z b w N T n L X > < a : K e y V a l u e O f D i a g r a m O b j e c t K e y a n y T y p e z b w N T n L X > < a : K e y > < K e y > T a b l e s \ W i n t e r   b e d   o c c   o v e r   1 4   d a y s \ C o l u m n s \ G   A   e s c a l a t i o n   b e d s   a v a i l < / K e y > < / a : K e y > < a : V a l u e   i : t y p e = " D i a g r a m D i s p l a y N o d e V i e w S t a t e " > < H e i g h t > 1 5 0 < / H e i g h t > < I s E x p a n d e d > t r u e < / I s E x p a n d e d > < W i d t h > 2 0 0 < / W i d t h > < / a : V a l u e > < / a : K e y V a l u e O f D i a g r a m O b j e c t K e y a n y T y p e z b w N T n L X > < a : K e y V a l u e O f D i a g r a m O b j e c t K e y a n y T y p e z b w N T n L X > < a : K e y > < K e y > T a b l e s \ W i n t e r   b e d   o c c   o v e r   1 4   d a y s \ C o l u m n s \ G   A   t o t a l   b e d s   a v a i l < / K e y > < / a : K e y > < a : V a l u e   i : t y p e = " D i a g r a m D i s p l a y N o d e V i e w S t a t e " > < H e i g h t > 1 5 0 < / H e i g h t > < I s E x p a n d e d > t r u e < / I s E x p a n d e d > < W i d t h > 2 0 0 < / W i d t h > < / a : V a l u e > < / a : K e y V a l u e O f D i a g r a m O b j e c t K e y a n y T y p e z b w N T n L X > < a : K e y V a l u e O f D i a g r a m O b j e c t K e y a n y T y p e z b w N T n L X > < a : K e y > < K e y > T a b l e s \ W i n t e r   b e d   o c c   o v e r   1 4   d a y s \ C o l u m n s \ G   A   t o t a l   b e d s   o c c u p i e d < / K e y > < / a : K e y > < a : V a l u e   i : t y p e = " D i a g r a m D i s p l a y N o d e V i e w S t a t e " > < H e i g h t > 1 5 0 < / H e i g h t > < I s E x p a n d e d > t r u e < / I s E x p a n d e d > < W i d t h > 2 0 0 < / W i d t h > < / a : V a l u e > < / a : K e y V a l u e O f D i a g r a m O b j e c t K e y a n y T y p e z b w N T n L X > < a : K e y V a l u e O f D i a g r a m O b j e c t K e y a n y T y p e z b w N T n L X > < a : K e y > < K e y > T a b l e s \ W i n t e r   b e d   o c c   o v e r   1 4   d a y s \ C o l u m n s \ B e d s   o c c   o v e r   7   d a y s < / K e y > < / a : K e y > < a : V a l u e   i : t y p e = " D i a g r a m D i s p l a y N o d e V i e w S t a t e " > < H e i g h t > 1 5 0 < / H e i g h t > < I s E x p a n d e d > t r u e < / I s E x p a n d e d > < W i d t h > 2 0 0 < / W i d t h > < / a : V a l u e > < / a : K e y V a l u e O f D i a g r a m O b j e c t K e y a n y T y p e z b w N T n L X > < a : K e y V a l u e O f D i a g r a m O b j e c t K e y a n y T y p e z b w N T n L X > < a : K e y > < K e y > T a b l e s \ W i n t e r   b e d   o c c   o v e r   1 4   d a y s \ C o l u m n s \ B e d s   o c c   o v e r   2 1   d a y s < / K e y > < / a : K e y > < a : V a l u e   i : t y p e = " D i a g r a m D i s p l a y N o d e V i e w S t a t e " > < H e i g h t > 1 5 0 < / H e i g h t > < I s E x p a n d e d > t r u e < / I s E x p a n d e d > < W i d t h > 2 0 0 < / W i d t h > < / a : V a l u e > < / a : K e y V a l u e O f D i a g r a m O b j e c t K e y a n y T y p e z b w N T n L X > < a : K e y V a l u e O f D i a g r a m O b j e c t K e y a n y T y p e z b w N T n L X > < a : K e y > < K e y > T a b l e s \ W i n t e r   b e d   o c c   o v e r   1 4   d a y s \ C o l u m n s \ B e d s   c l o s e d   n o r o v i r u s < / K e y > < / a : K e y > < a : V a l u e   i : t y p e = " D i a g r a m D i s p l a y N o d e V i e w S t a t e " > < H e i g h t > 1 5 0 < / H e i g h t > < I s E x p a n d e d > t r u e < / I s E x p a n d e d > < W i d t h > 2 0 0 < / W i d t h > < / a : V a l u e > < / a : K e y V a l u e O f D i a g r a m O b j e c t K e y a n y T y p e z b w N T n L X > < a : K e y V a l u e O f D i a g r a m O b j e c t K e y a n y T y p e z b w N T n L X > < a : K e y > < K e y > T a b l e s \ W i n t e r   b e d   o c c   o v e r   1 4   d a y s \ C o l u m n s \ B e d s   c l o s e d   n o r o v i u s   u n o c c < / K e y > < / a : K e y > < a : V a l u e   i : t y p e = " D i a g r a m D i s p l a y N o d e V i e w S t a t e " > < H e i g h t > 1 5 0 < / H e i g h t > < I s E x p a n d e d > t r u e < / I s E x p a n d e d > < W i d t h > 2 0 0 < / W i d t h > < / a : V a l u e > < / a : K e y V a l u e O f D i a g r a m O b j e c t K e y a n y T y p e z b w N T n L X > < a : K e y V a l u e O f D i a g r a m O b j e c t K e y a n y T y p e z b w N T n L X > < a : K e y > < K e y > T a b l e s \ W i n t e r   b e d   o c c   o v e r   1 4   d a y s \ C o l u m n s \ A d u l t   C C   b e d s   a v a i l < / K e y > < / a : K e y > < a : V a l u e   i : t y p e = " D i a g r a m D i s p l a y N o d e V i e w S t a t e " > < H e i g h t > 1 5 0 < / H e i g h t > < I s E x p a n d e d > t r u e < / I s E x p a n d e d > < W i d t h > 2 0 0 < / W i d t h > < / a : V a l u e > < / a : K e y V a l u e O f D i a g r a m O b j e c t K e y a n y T y p e z b w N T n L X > < a : K e y V a l u e O f D i a g r a m O b j e c t K e y a n y T y p e z b w N T n L X > < a : K e y > < K e y > T a b l e s \ W i n t e r   b e d   o c c   o v e r   1 4   d a y s \ C o l u m n s \ A d u l t   C C   b e d s   o c c < / K e y > < / a : K e y > < a : V a l u e   i : t y p e = " D i a g r a m D i s p l a y N o d e V i e w S t a t e " > < H e i g h t > 1 5 0 < / H e i g h t > < I s E x p a n d e d > t r u e < / I s E x p a n d e d > < W i d t h > 2 0 0 < / W i d t h > < / a : V a l u e > < / a : K e y V a l u e O f D i a g r a m O b j e c t K e y a n y T y p e z b w N T n L X > < a : K e y V a l u e O f D i a g r a m O b j e c t K e y a n y T y p e z b w N T n L X > < a : K e y > < K e y > T a b l e s \ W i n t e r   b e d   o c c   o v e r   1 4   d a y s \ C o l u m n s \ P a e d   I n t   C a r e   A v a i l < / K e y > < / a : K e y > < a : V a l u e   i : t y p e = " D i a g r a m D i s p l a y N o d e V i e w S t a t e " > < H e i g h t > 1 5 0 < / H e i g h t > < I s E x p a n d e d > t r u e < / I s E x p a n d e d > < W i d t h > 2 0 0 < / W i d t h > < / a : V a l u e > < / a : K e y V a l u e O f D i a g r a m O b j e c t K e y a n y T y p e z b w N T n L X > < a : K e y V a l u e O f D i a g r a m O b j e c t K e y a n y T y p e z b w N T n L X > < a : K e y > < K e y > T a b l e s \ W i n t e r   b e d   o c c   o v e r   1 4   d a y s \ C o l u m n s \ P a e d   I n t   C a r e   O c c < / K e y > < / a : K e y > < a : V a l u e   i : t y p e = " D i a g r a m D i s p l a y N o d e V i e w S t a t e " > < H e i g h t > 1 5 0 < / H e i g h t > < I s E x p a n d e d > t r u e < / I s E x p a n d e d > < W i d t h > 2 0 0 < / W i d t h > < / a : V a l u e > < / a : K e y V a l u e O f D i a g r a m O b j e c t K e y a n y T y p e z b w N T n L X > < a : K e y V a l u e O f D i a g r a m O b j e c t K e y a n y T y p e z b w N T n L X > < a : K e y > < K e y > T a b l e s \ W i n t e r   b e d   o c c   o v e r   1 4   d a y s \ C o l u m n s \ N e o   I n t   C a r e   A v a i l < / K e y > < / a : K e y > < a : V a l u e   i : t y p e = " D i a g r a m D i s p l a y N o d e V i e w S t a t e " > < H e i g h t > 1 5 0 < / H e i g h t > < I s E x p a n d e d > t r u e < / I s E x p a n d e d > < W i d t h > 2 0 0 < / W i d t h > < / a : V a l u e > < / a : K e y V a l u e O f D i a g r a m O b j e c t K e y a n y T y p e z b w N T n L X > < a : K e y V a l u e O f D i a g r a m O b j e c t K e y a n y T y p e z b w N T n L X > < a : K e y > < K e y > T a b l e s \ W i n t e r   b e d   o c c   o v e r   1 4   d a y s \ C o l u m n s \ N e o   I n t   C a r e   o c c < / K e y > < / a : K e y > < a : V a l u e   i : t y p e = " D i a g r a m D i s p l a y N o d e V i e w S t a t e " > < H e i g h t > 1 5 0 < / H e i g h t > < I s E x p a n d e d > t r u e < / I s E x p a n d e d > < W i d t h > 2 0 0 < / W i d t h > < / a : V a l u e > < / a : K e y V a l u e O f D i a g r a m O b j e c t K e y a n y T y p e z b w N T n L X > < a : K e y V a l u e O f D i a g r a m O b j e c t K e y a n y T y p e z b w N T n L X > < a : K e y > < K e y > T a b l e s \ W i n t e r   b e d   o c c   o v e r   1 4   d a y s \ C o l u m n s \ A m b   a r r i v a l s < / K e y > < / a : K e y > < a : V a l u e   i : t y p e = " D i a g r a m D i s p l a y N o d e V i e w S t a t e " > < H e i g h t > 1 5 0 < / H e i g h t > < I s E x p a n d e d > t r u e < / I s E x p a n d e d > < W i d t h > 2 0 0 < / W i d t h > < / a : V a l u e > < / a : K e y V a l u e O f D i a g r a m O b j e c t K e y a n y T y p e z b w N T n L X > < a : K e y V a l u e O f D i a g r a m O b j e c t K e y a n y T y p e z b w N T n L X > < a : K e y > < K e y > T a b l e s \ W i n t e r   b e d   o c c   o v e r   1 4   d a y s \ C o l u m n s \ A m b   d e l a y s   3 0 - 6 0   m i n s < / K e y > < / a : K e y > < a : V a l u e   i : t y p e = " D i a g r a m D i s p l a y N o d e V i e w S t a t e " > < H e i g h t > 1 5 0 < / H e i g h t > < I s E x p a n d e d > t r u e < / I s E x p a n d e d > < W i d t h > 2 0 0 < / W i d t h > < / a : V a l u e > < / a : K e y V a l u e O f D i a g r a m O b j e c t K e y a n y T y p e z b w N T n L X > < a : K e y V a l u e O f D i a g r a m O b j e c t K e y a n y T y p e z b w N T n L X > < a : K e y > < K e y > T a b l e s \ W i n t e r   b e d   o c c   o v e r   1 4   d a y s \ C o l u m n s \ A m b   d e l a y s   o v e r   6 0   m i n s < / K e y > < / a : K e y > < a : V a l u e   i : t y p e = " D i a g r a m D i s p l a y N o d e V i e w S t a t e " > < H e i g h t > 1 5 0 < / H e i g h t > < I s E x p a n d e d > t r u e < / I s E x p a n d e d > < W i d t h > 2 0 0 < / W i d t h > < / a : V a l u e > < / a : K e y V a l u e O f D i a g r a m O b j e c t K e y a n y T y p e z b w N T n L X > < a : K e y V a l u e O f D i a g r a m O b j e c t K e y a n y T y p e z b w N T n L X > < a : K e y > < K e y > T a b l e s \ W i n t e r   b e d   o c c   o v e r   1 4   d a y s \ C o l u m n s \ B e d s   o c c   o v e r   1 4   d a y s < / K e y > < / a : K e y > < a : V a l u e   i : t y p e = " D i a g r a m D i s p l a y N o d e V i e w S t a t e " > < H e i g h t > 1 5 0 < / H e i g h t > < I s E x p a n d e d > t r u e < / I s E x p a n d e d > < W i d t h > 2 0 0 < / W i d t h > < / a : V a l u e > < / a : K e y V a l u e O f D i a g r a m O b j e c t K e y a n y T y p e z b w N T n L X > < a : K e y V a l u e O f D i a g r a m O b j e c t K e y a n y T y p e z b w N T n L X > < a : K e y > < K e y > T a b l e s \ W i n t e r   b e d   o c c   o v e r   1 4   d a y s \ M e a s u r e s \ S u m   o f   B e d s   o c c   o v e r   1 4   d a y s < / K e y > < / a : K e y > < a : V a l u e   i : t y p e = " D i a g r a m D i s p l a y N o d e V i e w S t a t e " > < H e i g h t > 1 5 0 < / H e i g h t > < I s E x p a n d e d > t r u e < / I s E x p a n d e d > < W i d t h > 2 0 0 < / W i d t h > < / a : V a l u e > < / a : K e y V a l u e O f D i a g r a m O b j e c t K e y a n y T y p e z b w N T n L X > < a : K e y V a l u e O f D i a g r a m O b j e c t K e y a n y T y p e z b w N T n L X > < a : K e y > < K e y > T a b l e s \ W i n t e r   b e d   o c c   o v e r   1 4   d a y s \ S u m   o f   B e d s   o c c   o v e r   1 4   d a y s \ A d d i t i o n a l   I n f o \ I m p l i c i t   M e a s u r e < / K e y > < / a : K e y > < a : V a l u e   i : t y p e = " D i a g r a m D i s p l a y V i e w S t a t e I D i a g r a m T a g A d d i t i o n a l I n f o " / > < / a : K e y V a l u e O f D i a g r a m O b j e c t K e y a n y T y p e z b w N T n L X > < / V i e w S t a t e s > < / D i a g r a m M a n a g e r . S e r i a l i z a b l e D i a g r a m > < D i a g r a m M a n a g e r . S e r i a l i z a b l e D i a g r a m > < A d a p t e r   i : t y p e = " M e a s u r e D i a g r a m S a n d b o x A d a p t e r " > < T a b l e N a m e > W i n t e r   b e d   o c c   o v e r   1 4   d a y s 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 W i n t e r   b e d   o c c   o v e r   1 4   d a y s 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 B e d s   o c c   o v e r   1 4   d a y s < / K e y > < / D i a g r a m O b j e c t K e y > < D i a g r a m O b j e c t K e y > < K e y > M e a s u r e s \ S u m   o f   B e d s   o c c   o v e r   1 4   d a y s \ T a g I n f o \ F o r m u l a < / K e y > < / D i a g r a m O b j e c t K e y > < D i a g r a m O b j e c t K e y > < K e y > M e a s u r e s \ S u m   o f   B e d s   o c c   o v e r   1 4   d a y s \ T a g I n f o \ V a l u e < / K e y > < / D i a g r a m O b j e c t K e y > < D i a g r a m O b j e c t K e y > < K e y > C o l u m n s \ R e g i o n < / K e y > < / D i a g r a m O b j e c t K e y > < D i a g r a m O b j e c t K e y > < K e y > C o l u m n s \ C o d e < / K e y > < / D i a g r a m O b j e c t K e y > < D i a g r a m O b j e c t K e y > < K e y > C o l u m n s \ N a m e < / K e y > < / D i a g r a m O b j e c t K e y > < D i a g r a m O b j e c t K e y > < K e y > C o l u m n s \ Y e a r < / K e y > < / D i a g r a m O b j e c t K e y > < D i a g r a m O b j e c t K e y > < K e y > C o l u m n s \ D a t e < / K e y > < / D i a g r a m O b j e c t K e y > < D i a g r a m O b j e c t K e y > < K e y > C o l u m n s \ W e e k < / K e y > < / D i a g r a m O b j e c t K e y > < D i a g r a m O b j e c t K e y > < K e y > C o l u m n s \ D a y < / K e y > < / D i a g r a m O b j e c t K e y > < D i a g r a m O b j e c t K e y > < K e y > C o l u m n s \ W e e k e n d < / K e y > < / D i a g r a m O b j e c t K e y > < D i a g r a m O b j e c t K e y > < K e y > C o l u m n s \ B a n k   h o l i d a y < / K e y > < / D i a g r a m O b j e c t K e y > < D i a g r a m O b j e c t K e y > < K e y > C o l u m n s \ A   E   c l o s u r e s < / K e y > < / D i a g r a m O b j e c t K e y > < D i a g r a m O b j e c t K e y > < K e y > C o l u m n s \ A   E   d i v e r t s < / K e y > < / D i a g r a m O b j e c t K e y > < D i a g r a m O b j e c t K e y > < K e y > C o l u m n s \ G   A   c o r e   b e d s   a v a i l < / K e y > < / D i a g r a m O b j e c t K e y > < D i a g r a m O b j e c t K e y > < K e y > C o l u m n s \ G   A   e s c a l a t i o n   b e d s   a v a i l < / K e y > < / D i a g r a m O b j e c t K e y > < D i a g r a m O b j e c t K e y > < K e y > C o l u m n s \ G   A   t o t a l   b e d s   a v a i l < / K e y > < / D i a g r a m O b j e c t K e y > < D i a g r a m O b j e c t K e y > < K e y > C o l u m n s \ G   A   t o t a l   b e d s   o c c u p i e d < / K e y > < / D i a g r a m O b j e c t K e y > < D i a g r a m O b j e c t K e y > < K e y > C o l u m n s \ B e d s   o c c   o v e r   7   d a y s < / K e y > < / D i a g r a m O b j e c t K e y > < D i a g r a m O b j e c t K e y > < K e y > C o l u m n s \ B e d s   o c c   o v e r   2 1   d a y s < / K e y > < / D i a g r a m O b j e c t K e y > < D i a g r a m O b j e c t K e y > < K e y > C o l u m n s \ B e d s   c l o s e d   n o r o v i r u s < / K e y > < / D i a g r a m O b j e c t K e y > < D i a g r a m O b j e c t K e y > < K e y > C o l u m n s \ B e d s   c l o s e d   n o r o v i u s   u n o c c < / K e y > < / D i a g r a m O b j e c t K e y > < D i a g r a m O b j e c t K e y > < K e y > C o l u m n s \ A d u l t   C C   b e d s   a v a i l < / K e y > < / D i a g r a m O b j e c t K e y > < D i a g r a m O b j e c t K e y > < K e y > C o l u m n s \ A d u l t   C C   b e d s   o c c < / K e y > < / D i a g r a m O b j e c t K e y > < D i a g r a m O b j e c t K e y > < K e y > C o l u m n s \ P a e d   I n t   C a r e   A v a i l < / K e y > < / D i a g r a m O b j e c t K e y > < D i a g r a m O b j e c t K e y > < K e y > C o l u m n s \ P a e d   I n t   C a r e   O c c < / K e y > < / D i a g r a m O b j e c t K e y > < D i a g r a m O b j e c t K e y > < K e y > C o l u m n s \ N e o   I n t   C a r e   A v a i l < / K e y > < / D i a g r a m O b j e c t K e y > < D i a g r a m O b j e c t K e y > < K e y > C o l u m n s \ N e o   I n t   C a r e   o c c < / K e y > < / D i a g r a m O b j e c t K e y > < D i a g r a m O b j e c t K e y > < K e y > C o l u m n s \ A m b   a r r i v a l s < / K e y > < / D i a g r a m O b j e c t K e y > < D i a g r a m O b j e c t K e y > < K e y > C o l u m n s \ A m b   d e l a y s   3 0 - 6 0   m i n s < / K e y > < / D i a g r a m O b j e c t K e y > < D i a g r a m O b j e c t K e y > < K e y > C o l u m n s \ A m b   d e l a y s   o v e r   6 0   m i n s < / K e y > < / D i a g r a m O b j e c t K e y > < D i a g r a m O b j e c t K e y > < K e y > C o l u m n s \ B e d s   o c c   o v e r   1 4   d a y s < / K e y > < / D i a g r a m O b j e c t K e y > < D i a g r a m O b j e c t K e y > < K e y > L i n k s \ & l t ; C o l u m n s \ S u m   o f   B e d s   o c c   o v e r   1 4   d a y s & g t ; - & l t ; M e a s u r e s \ B e d s   o c c   o v e r   1 4   d a y s & g t ; < / K e y > < / D i a g r a m O b j e c t K e y > < D i a g r a m O b j e c t K e y > < K e y > L i n k s \ & l t ; C o l u m n s \ S u m   o f   B e d s   o c c   o v e r   1 4   d a y s & g t ; - & l t ; M e a s u r e s \ B e d s   o c c   o v e r   1 4   d a y s & g t ; \ C O L U M N < / K e y > < / D i a g r a m O b j e c t K e y > < D i a g r a m O b j e c t K e y > < K e y > L i n k s \ & l t ; C o l u m n s \ S u m   o f   B e d s   o c c   o v e r   1 4   d a y s & g t ; - & l t ; M e a s u r e s \ B e d s   o c c   o v e r   1 4   d a y s & g t ; \ M E A S U R E 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 B e d s   o c c   o v e r   1 4   d a y s < / K e y > < / a : K e y > < a : V a l u e   i : t y p e = " M e a s u r e G r i d N o d e V i e w S t a t e " > < C o l u m n > 2 8 < / C o l u m n > < L a y e d O u t > t r u e < / L a y e d O u t > < W a s U I I n v i s i b l e > t r u e < / W a s U I I n v i s i b l e > < / a : V a l u e > < / a : K e y V a l u e O f D i a g r a m O b j e c t K e y a n y T y p e z b w N T n L X > < a : K e y V a l u e O f D i a g r a m O b j e c t K e y a n y T y p e z b w N T n L X > < a : K e y > < K e y > M e a s u r e s \ S u m   o f   B e d s   o c c   o v e r   1 4   d a y s \ T a g I n f o \ F o r m u l a < / K e y > < / a : K e y > < a : V a l u e   i : t y p e = " M e a s u r e G r i d V i e w S t a t e I D i a g r a m T a g A d d i t i o n a l I n f o " / > < / a : K e y V a l u e O f D i a g r a m O b j e c t K e y a n y T y p e z b w N T n L X > < a : K e y V a l u e O f D i a g r a m O b j e c t K e y a n y T y p e z b w N T n L X > < a : K e y > < K e y > M e a s u r e s \ S u m   o f   B e d s   o c c   o v e r   1 4   d a y s \ T a g I n f o \ V a l u e < / K e y > < / a : K e y > < a : V a l u e   i : t y p e = " M e a s u r e G r i d V i e w S t a t e I D i a g r a m T a g A d d i t i o n a l I n f o " / > < / a : K e y V a l u e O f D i a g r a m O b j e c t K e y a n y T y p e z b w N T n L X > < a : K e y V a l u e O f D i a g r a m O b j e c t K e y a n y T y p e z b w N T n L X > < a : K e y > < K e y > C o l u m n s \ R e g i o n < / K e y > < / a : K e y > < a : V a l u e   i : t y p e = " M e a s u r e G r i d N o d e V i e w S t a t e " > < L a y e d O u t > t r u e < / L a y e d O u t > < / a : V a l u e > < / a : K e y V a l u e O f D i a g r a m O b j e c t K e y a n y T y p e z b w N T n L X > < a : K e y V a l u e O f D i a g r a m O b j e c t K e y a n y T y p e z b w N T n L X > < a : K e y > < K e y > C o l u m n s \ C o d e < / K e y > < / a : K e y > < a : V a l u e   i : t y p e = " M e a s u r e G r i d N o d e V i e w S t a t e " > < C o l u m n > 1 < / C o l u m n > < L a y e d O u t > t r u e < / L a y e d O u t > < / a : V a l u e > < / a : K e y V a l u e O f D i a g r a m O b j e c t K e y a n y T y p e z b w N T n L X > < a : K e y V a l u e O f D i a g r a m O b j e c t K e y a n y T y p e z b w N T n L X > < a : K e y > < K e y > C o l u m n s \ N a m e < / K e y > < / a : K e y > < a : V a l u e   i : t y p e = " M e a s u r e G r i d N o d e V i e w S t a t e " > < C o l u m n > 2 < / C o l u m n > < L a y e d O u t > t r u e < / L a y e d O u t > < / a : V a l u e > < / a : K e y V a l u e O f D i a g r a m O b j e c t K e y a n y T y p e z b w N T n L X > < a : K e y V a l u e O f D i a g r a m O b j e c t K e y a n y T y p e z b w N T n L X > < a : K e y > < K e y > C o l u m n s \ Y e a r < / K e y > < / a : K e y > < a : V a l u e   i : t y p e = " M e a s u r e G r i d N o d e V i e w S t a t e " > < C o l u m n > 3 < / C o l u m n > < L a y e d O u t > t r u e < / L a y e d O u t > < / a : V a l u e > < / a : K e y V a l u e O f D i a g r a m O b j e c t K e y a n y T y p e z b w N T n L X > < a : K e y V a l u e O f D i a g r a m O b j e c t K e y a n y T y p e z b w N T n L X > < a : K e y > < K e y > C o l u m n s \ D a t e < / K e y > < / a : K e y > < a : V a l u e   i : t y p e = " M e a s u r e G r i d N o d e V i e w S t a t e " > < C o l u m n > 4 < / C o l u m n > < L a y e d O u t > t r u e < / L a y e d O u t > < / a : V a l u e > < / a : K e y V a l u e O f D i a g r a m O b j e c t K e y a n y T y p e z b w N T n L X > < a : K e y V a l u e O f D i a g r a m O b j e c t K e y a n y T y p e z b w N T n L X > < a : K e y > < K e y > C o l u m n s \ W e e k < / K e y > < / a : K e y > < a : V a l u e   i : t y p e = " M e a s u r e G r i d N o d e V i e w S t a t e " > < C o l u m n > 5 < / C o l u m n > < L a y e d O u t > t r u e < / L a y e d O u t > < / a : V a l u e > < / a : K e y V a l u e O f D i a g r a m O b j e c t K e y a n y T y p e z b w N T n L X > < a : K e y V a l u e O f D i a g r a m O b j e c t K e y a n y T y p e z b w N T n L X > < a : K e y > < K e y > C o l u m n s \ D a y < / K e y > < / a : K e y > < a : V a l u e   i : t y p e = " M e a s u r e G r i d N o d e V i e w S t a t e " > < C o l u m n > 6 < / C o l u m n > < L a y e d O u t > t r u e < / L a y e d O u t > < / a : V a l u e > < / a : K e y V a l u e O f D i a g r a m O b j e c t K e y a n y T y p e z b w N T n L X > < a : K e y V a l u e O f D i a g r a m O b j e c t K e y a n y T y p e z b w N T n L X > < a : K e y > < K e y > C o l u m n s \ W e e k e n d < / K e y > < / a : K e y > < a : V a l u e   i : t y p e = " M e a s u r e G r i d N o d e V i e w S t a t e " > < C o l u m n > 7 < / C o l u m n > < L a y e d O u t > t r u e < / L a y e d O u t > < / a : V a l u e > < / a : K e y V a l u e O f D i a g r a m O b j e c t K e y a n y T y p e z b w N T n L X > < a : K e y V a l u e O f D i a g r a m O b j e c t K e y a n y T y p e z b w N T n L X > < a : K e y > < K e y > C o l u m n s \ B a n k   h o l i d a y < / K e y > < / a : K e y > < a : V a l u e   i : t y p e = " M e a s u r e G r i d N o d e V i e w S t a t e " > < C o l u m n > 8 < / C o l u m n > < L a y e d O u t > t r u e < / L a y e d O u t > < / a : V a l u e > < / a : K e y V a l u e O f D i a g r a m O b j e c t K e y a n y T y p e z b w N T n L X > < a : K e y V a l u e O f D i a g r a m O b j e c t K e y a n y T y p e z b w N T n L X > < a : K e y > < K e y > C o l u m n s \ A   E   c l o s u r e s < / K e y > < / a : K e y > < a : V a l u e   i : t y p e = " M e a s u r e G r i d N o d e V i e w S t a t e " > < C o l u m n > 9 < / C o l u m n > < L a y e d O u t > t r u e < / L a y e d O u t > < / a : V a l u e > < / a : K e y V a l u e O f D i a g r a m O b j e c t K e y a n y T y p e z b w N T n L X > < a : K e y V a l u e O f D i a g r a m O b j e c t K e y a n y T y p e z b w N T n L X > < a : K e y > < K e y > C o l u m n s \ A   E   d i v e r t s < / K e y > < / a : K e y > < a : V a l u e   i : t y p e = " M e a s u r e G r i d N o d e V i e w S t a t e " > < C o l u m n > 1 0 < / C o l u m n > < L a y e d O u t > t r u e < / L a y e d O u t > < / a : V a l u e > < / a : K e y V a l u e O f D i a g r a m O b j e c t K e y a n y T y p e z b w N T n L X > < a : K e y V a l u e O f D i a g r a m O b j e c t K e y a n y T y p e z b w N T n L X > < a : K e y > < K e y > C o l u m n s \ G   A   c o r e   b e d s   a v a i l < / K e y > < / a : K e y > < a : V a l u e   i : t y p e = " M e a s u r e G r i d N o d e V i e w S t a t e " > < C o l u m n > 1 1 < / C o l u m n > < L a y e d O u t > t r u e < / L a y e d O u t > < / a : V a l u e > < / a : K e y V a l u e O f D i a g r a m O b j e c t K e y a n y T y p e z b w N T n L X > < a : K e y V a l u e O f D i a g r a m O b j e c t K e y a n y T y p e z b w N T n L X > < a : K e y > < K e y > C o l u m n s \ G   A   e s c a l a t i o n   b e d s   a v a i l < / K e y > < / a : K e y > < a : V a l u e   i : t y p e = " M e a s u r e G r i d N o d e V i e w S t a t e " > < C o l u m n > 1 2 < / C o l u m n > < L a y e d O u t > t r u e < / L a y e d O u t > < / a : V a l u e > < / a : K e y V a l u e O f D i a g r a m O b j e c t K e y a n y T y p e z b w N T n L X > < a : K e y V a l u e O f D i a g r a m O b j e c t K e y a n y T y p e z b w N T n L X > < a : K e y > < K e y > C o l u m n s \ G   A   t o t a l   b e d s   a v a i l < / K e y > < / a : K e y > < a : V a l u e   i : t y p e = " M e a s u r e G r i d N o d e V i e w S t a t e " > < C o l u m n > 1 3 < / C o l u m n > < L a y e d O u t > t r u e < / L a y e d O u t > < / a : V a l u e > < / a : K e y V a l u e O f D i a g r a m O b j e c t K e y a n y T y p e z b w N T n L X > < a : K e y V a l u e O f D i a g r a m O b j e c t K e y a n y T y p e z b w N T n L X > < a : K e y > < K e y > C o l u m n s \ G   A   t o t a l   b e d s   o c c u p i e d < / K e y > < / a : K e y > < a : V a l u e   i : t y p e = " M e a s u r e G r i d N o d e V i e w S t a t e " > < C o l u m n > 1 4 < / C o l u m n > < L a y e d O u t > t r u e < / L a y e d O u t > < / a : V a l u e > < / a : K e y V a l u e O f D i a g r a m O b j e c t K e y a n y T y p e z b w N T n L X > < a : K e y V a l u e O f D i a g r a m O b j e c t K e y a n y T y p e z b w N T n L X > < a : K e y > < K e y > C o l u m n s \ B e d s   o c c   o v e r   7   d a y s < / K e y > < / a : K e y > < a : V a l u e   i : t y p e = " M e a s u r e G r i d N o d e V i e w S t a t e " > < C o l u m n > 1 5 < / C o l u m n > < L a y e d O u t > t r u e < / L a y e d O u t > < / a : V a l u e > < / a : K e y V a l u e O f D i a g r a m O b j e c t K e y a n y T y p e z b w N T n L X > < a : K e y V a l u e O f D i a g r a m O b j e c t K e y a n y T y p e z b w N T n L X > < a : K e y > < K e y > C o l u m n s \ B e d s   o c c   o v e r   2 1   d a y s < / K e y > < / a : K e y > < a : V a l u e   i : t y p e = " M e a s u r e G r i d N o d e V i e w S t a t e " > < C o l u m n > 1 6 < / C o l u m n > < L a y e d O u t > t r u e < / L a y e d O u t > < / a : V a l u e > < / a : K e y V a l u e O f D i a g r a m O b j e c t K e y a n y T y p e z b w N T n L X > < a : K e y V a l u e O f D i a g r a m O b j e c t K e y a n y T y p e z b w N T n L X > < a : K e y > < K e y > C o l u m n s \ B e d s   c l o s e d   n o r o v i r u s < / K e y > < / a : K e y > < a : V a l u e   i : t y p e = " M e a s u r e G r i d N o d e V i e w S t a t e " > < C o l u m n > 1 7 < / C o l u m n > < L a y e d O u t > t r u e < / L a y e d O u t > < / a : V a l u e > < / a : K e y V a l u e O f D i a g r a m O b j e c t K e y a n y T y p e z b w N T n L X > < a : K e y V a l u e O f D i a g r a m O b j e c t K e y a n y T y p e z b w N T n L X > < a : K e y > < K e y > C o l u m n s \ B e d s   c l o s e d   n o r o v i u s   u n o c c < / K e y > < / a : K e y > < a : V a l u e   i : t y p e = " M e a s u r e G r i d N o d e V i e w S t a t e " > < C o l u m n > 1 8 < / C o l u m n > < L a y e d O u t > t r u e < / L a y e d O u t > < / a : V a l u e > < / a : K e y V a l u e O f D i a g r a m O b j e c t K e y a n y T y p e z b w N T n L X > < a : K e y V a l u e O f D i a g r a m O b j e c t K e y a n y T y p e z b w N T n L X > < a : K e y > < K e y > C o l u m n s \ A d u l t   C C   b e d s   a v a i l < / K e y > < / a : K e y > < a : V a l u e   i : t y p e = " M e a s u r e G r i d N o d e V i e w S t a t e " > < C o l u m n > 1 9 < / C o l u m n > < L a y e d O u t > t r u e < / L a y e d O u t > < / a : V a l u e > < / a : K e y V a l u e O f D i a g r a m O b j e c t K e y a n y T y p e z b w N T n L X > < a : K e y V a l u e O f D i a g r a m O b j e c t K e y a n y T y p e z b w N T n L X > < a : K e y > < K e y > C o l u m n s \ A d u l t   C C   b e d s   o c c < / K e y > < / a : K e y > < a : V a l u e   i : t y p e = " M e a s u r e G r i d N o d e V i e w S t a t e " > < C o l u m n > 2 0 < / C o l u m n > < L a y e d O u t > t r u e < / L a y e d O u t > < / a : V a l u e > < / a : K e y V a l u e O f D i a g r a m O b j e c t K e y a n y T y p e z b w N T n L X > < a : K e y V a l u e O f D i a g r a m O b j e c t K e y a n y T y p e z b w N T n L X > < a : K e y > < K e y > C o l u m n s \ P a e d   I n t   C a r e   A v a i l < / K e y > < / a : K e y > < a : V a l u e   i : t y p e = " M e a s u r e G r i d N o d e V i e w S t a t e " > < C o l u m n > 2 1 < / C o l u m n > < L a y e d O u t > t r u e < / L a y e d O u t > < / a : V a l u e > < / a : K e y V a l u e O f D i a g r a m O b j e c t K e y a n y T y p e z b w N T n L X > < a : K e y V a l u e O f D i a g r a m O b j e c t K e y a n y T y p e z b w N T n L X > < a : K e y > < K e y > C o l u m n s \ P a e d   I n t   C a r e   O c c < / K e y > < / a : K e y > < a : V a l u e   i : t y p e = " M e a s u r e G r i d N o d e V i e w S t a t e " > < C o l u m n > 2 2 < / C o l u m n > < L a y e d O u t > t r u e < / L a y e d O u t > < / a : V a l u e > < / a : K e y V a l u e O f D i a g r a m O b j e c t K e y a n y T y p e z b w N T n L X > < a : K e y V a l u e O f D i a g r a m O b j e c t K e y a n y T y p e z b w N T n L X > < a : K e y > < K e y > C o l u m n s \ N e o   I n t   C a r e   A v a i l < / K e y > < / a : K e y > < a : V a l u e   i : t y p e = " M e a s u r e G r i d N o d e V i e w S t a t e " > < C o l u m n > 2 3 < / C o l u m n > < L a y e d O u t > t r u e < / L a y e d O u t > < / a : V a l u e > < / a : K e y V a l u e O f D i a g r a m O b j e c t K e y a n y T y p e z b w N T n L X > < a : K e y V a l u e O f D i a g r a m O b j e c t K e y a n y T y p e z b w N T n L X > < a : K e y > < K e y > C o l u m n s \ N e o   I n t   C a r e   o c c < / K e y > < / a : K e y > < a : V a l u e   i : t y p e = " M e a s u r e G r i d N o d e V i e w S t a t e " > < C o l u m n > 2 4 < / C o l u m n > < L a y e d O u t > t r u e < / L a y e d O u t > < / a : V a l u e > < / a : K e y V a l u e O f D i a g r a m O b j e c t K e y a n y T y p e z b w N T n L X > < a : K e y V a l u e O f D i a g r a m O b j e c t K e y a n y T y p e z b w N T n L X > < a : K e y > < K e y > C o l u m n s \ A m b   a r r i v a l s < / K e y > < / a : K e y > < a : V a l u e   i : t y p e = " M e a s u r e G r i d N o d e V i e w S t a t e " > < C o l u m n > 2 5 < / C o l u m n > < L a y e d O u t > t r u e < / L a y e d O u t > < / a : V a l u e > < / a : K e y V a l u e O f D i a g r a m O b j e c t K e y a n y T y p e z b w N T n L X > < a : K e y V a l u e O f D i a g r a m O b j e c t K e y a n y T y p e z b w N T n L X > < a : K e y > < K e y > C o l u m n s \ A m b   d e l a y s   3 0 - 6 0   m i n s < / K e y > < / a : K e y > < a : V a l u e   i : t y p e = " M e a s u r e G r i d N o d e V i e w S t a t e " > < C o l u m n > 2 6 < / C o l u m n > < L a y e d O u t > t r u e < / L a y e d O u t > < / a : V a l u e > < / a : K e y V a l u e O f D i a g r a m O b j e c t K e y a n y T y p e z b w N T n L X > < a : K e y V a l u e O f D i a g r a m O b j e c t K e y a n y T y p e z b w N T n L X > < a : K e y > < K e y > C o l u m n s \ A m b   d e l a y s   o v e r   6 0   m i n s < / K e y > < / a : K e y > < a : V a l u e   i : t y p e = " M e a s u r e G r i d N o d e V i e w S t a t e " > < C o l u m n > 2 7 < / C o l u m n > < L a y e d O u t > t r u e < / L a y e d O u t > < / a : V a l u e > < / a : K e y V a l u e O f D i a g r a m O b j e c t K e y a n y T y p e z b w N T n L X > < a : K e y V a l u e O f D i a g r a m O b j e c t K e y a n y T y p e z b w N T n L X > < a : K e y > < K e y > C o l u m n s \ B e d s   o c c   o v e r   1 4   d a y s < / K e y > < / a : K e y > < a : V a l u e   i : t y p e = " M e a s u r e G r i d N o d e V i e w S t a t e " > < C o l u m n > 2 8 < / C o l u m n > < L a y e d O u t > t r u e < / L a y e d O u t > < / a : V a l u e > < / a : K e y V a l u e O f D i a g r a m O b j e c t K e y a n y T y p e z b w N T n L X > < a : K e y V a l u e O f D i a g r a m O b j e c t K e y a n y T y p e z b w N T n L X > < a : K e y > < K e y > L i n k s \ & l t ; C o l u m n s \ S u m   o f   B e d s   o c c   o v e r   1 4   d a y s & g t ; - & l t ; M e a s u r e s \ B e d s   o c c   o v e r   1 4   d a y s & g t ; < / K e y > < / a : K e y > < a : V a l u e   i : t y p e = " M e a s u r e G r i d V i e w S t a t e I D i a g r a m L i n k " / > < / a : K e y V a l u e O f D i a g r a m O b j e c t K e y a n y T y p e z b w N T n L X > < a : K e y V a l u e O f D i a g r a m O b j e c t K e y a n y T y p e z b w N T n L X > < a : K e y > < K e y > L i n k s \ & l t ; C o l u m n s \ S u m   o f   B e d s   o c c   o v e r   1 4   d a y s & g t ; - & l t ; M e a s u r e s \ B e d s   o c c   o v e r   1 4   d a y s & g t ; \ C O L U M N < / K e y > < / a : K e y > < a : V a l u e   i : t y p e = " M e a s u r e G r i d V i e w S t a t e I D i a g r a m L i n k E n d p o i n t " / > < / a : K e y V a l u e O f D i a g r a m O b j e c t K e y a n y T y p e z b w N T n L X > < a : K e y V a l u e O f D i a g r a m O b j e c t K e y a n y T y p e z b w N T n L X > < a : K e y > < K e y > L i n k s \ & l t ; C o l u m n s \ S u m   o f   B e d s   o c c   o v e r   1 4   d a y s & g t ; - & l t ; M e a s u r e s \ B e d s   o c c   o v e r   1 4   d a y s & g t ; \ M E A S U R E < / K e y > < / a : K e y > < a : V a l u e   i : t y p e = " M e a s u r e G r i d V i e w S t a t e I D i a g r a m L i n k E n d p o i n t " / > < / a : K e y V a l u e O f D i a g r a m O b j e c t K e y a n y T y p e z b w N T n L X > < / V i e w S t a t e s > < / D i a g r a m M a n a g e r . S e r i a l i z a b l e D i a g r a m > < D i a g r a m M a n a g e r . S e r i a l i z a b l e D i a g r a m > < A d a p t e r   i : t y p e = " M e a s u r e D i a g r a m S a n d b o x A d a p t e r " > < T a b l e N a m e > W i n t e r   d a i l y   s i t r e p s 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 W i n t e r   d a i l y   s i t r e p s 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 A E   d i v e r t s < / K e y > < / D i a g r a m O b j e c t K e y > < D i a g r a m O b j e c t K e y > < K e y > M e a s u r e s \ S u m   o f   A E   d i v e r t s \ T a g I n f o \ F o r m u l a < / K e y > < / D i a g r a m O b j e c t K e y > < D i a g r a m O b j e c t K e y > < K e y > M e a s u r e s \ S u m   o f   A E   d i v e r t s \ T a g I n f o \ V a l u e < / K e y > < / D i a g r a m O b j e c t K e y > < D i a g r a m O b j e c t K e y > < K e y > M e a s u r e s \ S u m   o f   G A   t o t a l   b e d s   o c c u p i e d < / K e y > < / D i a g r a m O b j e c t K e y > < D i a g r a m O b j e c t K e y > < K e y > M e a s u r e s \ S u m   o f   G A   t o t a l   b e d s   o c c u p i e d \ T a g I n f o \ F o r m u l a < / K e y > < / D i a g r a m O b j e c t K e y > < D i a g r a m O b j e c t K e y > < K e y > M e a s u r e s \ S u m   o f   G A   t o t a l   b e d s   o c c u p i e d \ T a g I n f o \ V a l u e < / K e y > < / D i a g r a m O b j e c t K e y > < D i a g r a m O b j e c t K e y > < K e y > M e a s u r e s \ A v e r a g e   o f   G A   t o t a l   b e d s   o c c u p i e d < / K e y > < / D i a g r a m O b j e c t K e y > < D i a g r a m O b j e c t K e y > < K e y > M e a s u r e s \ A v e r a g e   o f   G A   t o t a l   b e d s   o c c u p i e d \ T a g I n f o \ F o r m u l a < / K e y > < / D i a g r a m O b j e c t K e y > < D i a g r a m O b j e c t K e y > < K e y > M e a s u r e s \ A v e r a g e   o f   G A   t o t a l   b e d s   o c c u p i e d \ T a g I n f o \ V a l u e < / K e y > < / D i a g r a m O b j e c t K e y > < D i a g r a m O b j e c t K e y > < K e y > M e a s u r e s \ S u m   o f   G A   t o t a l   b e d s   a v a i l < / K e y > < / D i a g r a m O b j e c t K e y > < D i a g r a m O b j e c t K e y > < K e y > M e a s u r e s \ S u m   o f   G A   t o t a l   b e d s   a v a i l \ T a g I n f o \ F o r m u l a < / K e y > < / D i a g r a m O b j e c t K e y > < D i a g r a m O b j e c t K e y > < K e y > M e a s u r e s \ S u m   o f   G A   t o t a l   b e d s   a v a i l \ T a g I n f o \ V a l u e < / K e y > < / D i a g r a m O b j e c t K e y > < D i a g r a m O b j e c t K e y > < K e y > M e a s u r e s \ S u m   o f   B e d s   o c c   o v e r   7   d a y s < / K e y > < / D i a g r a m O b j e c t K e y > < D i a g r a m O b j e c t K e y > < K e y > M e a s u r e s \ S u m   o f   B e d s   o c c   o v e r   7   d a y s \ T a g I n f o \ F o r m u l a < / K e y > < / D i a g r a m O b j e c t K e y > < D i a g r a m O b j e c t K e y > < K e y > M e a s u r e s \ S u m   o f   B e d s   o c c   o v e r   7   d a y s \ T a g I n f o \ V a l u e < / K e y > < / D i a g r a m O b j e c t K e y > < D i a g r a m O b j e c t K e y > < K e y > M e a s u r e s \ S u m   o f   B e d s   o c c   o v e r   2 1   d a y s < / K e y > < / D i a g r a m O b j e c t K e y > < D i a g r a m O b j e c t K e y > < K e y > M e a s u r e s \ S u m   o f   B e d s   o c c   o v e r   2 1   d a y s \ T a g I n f o \ F o r m u l a < / K e y > < / D i a g r a m O b j e c t K e y > < D i a g r a m O b j e c t K e y > < K e y > M e a s u r e s \ S u m   o f   B e d s   o c c   o v e r   2 1   d a y s \ T a g I n f o \ V a l u e < / K e y > < / D i a g r a m O b j e c t K e y > < D i a g r a m O b j e c t K e y > < K e y > M e a s u r e s \ A v e r a g e   o f   B e d s   o c c   o v e r   2 1   d a y s < / K e y > < / D i a g r a m O b j e c t K e y > < D i a g r a m O b j e c t K e y > < K e y > M e a s u r e s \ A v e r a g e   o f   B e d s   o c c   o v e r   2 1   d a y s \ T a g I n f o \ F o r m u l a < / K e y > < / D i a g r a m O b j e c t K e y > < D i a g r a m O b j e c t K e y > < K e y > M e a s u r e s \ A v e r a g e   o f   B e d s   o c c   o v e r   2 1   d a y s \ T a g I n f o \ V a l u e < / K e y > < / D i a g r a m O b j e c t K e y > < D i a g r a m O b j e c t K e y > < K e y > M e a s u r e s \ S u m   o f   B e d s   c l o s e d   n o r o v i r u s < / K e y > < / D i a g r a m O b j e c t K e y > < D i a g r a m O b j e c t K e y > < K e y > M e a s u r e s \ S u m   o f   B e d s   c l o s e d   n o r o v i r u s \ T a g I n f o \ F o r m u l a < / K e y > < / D i a g r a m O b j e c t K e y > < D i a g r a m O b j e c t K e y > < K e y > M e a s u r e s \ S u m   o f   B e d s   c l o s e d   n o r o v i r u s \ T a g I n f o \ V a l u e < / K e y > < / D i a g r a m O b j e c t K e y > < D i a g r a m O b j e c t K e y > < K e y > M e a s u r e s \ A v e r a g e   o f   B e d s   c l o s e d   n o r o v i r u s < / K e y > < / D i a g r a m O b j e c t K e y > < D i a g r a m O b j e c t K e y > < K e y > M e a s u r e s \ A v e r a g e   o f   B e d s   c l o s e d   n o r o v i r u s \ T a g I n f o \ F o r m u l a < / K e y > < / D i a g r a m O b j e c t K e y > < D i a g r a m O b j e c t K e y > < K e y > M e a s u r e s \ A v e r a g e   o f   B e d s   c l o s e d   n o r o v i r u s \ T a g I n f o \ V a l u e < / K e y > < / D i a g r a m O b j e c t K e y > < D i a g r a m O b j e c t K e y > < K e y > M e a s u r e s \ S u m   o f   B e d s   c l o s e d   n o r o v i u s   u n o c c < / K e y > < / D i a g r a m O b j e c t K e y > < D i a g r a m O b j e c t K e y > < K e y > M e a s u r e s \ S u m   o f   B e d s   c l o s e d   n o r o v i u s   u n o c c \ T a g I n f o \ F o r m u l a < / K e y > < / D i a g r a m O b j e c t K e y > < D i a g r a m O b j e c t K e y > < K e y > M e a s u r e s \ S u m   o f   B e d s   c l o s e d   n o r o v i u s   u n o c c \ T a g I n f o \ V a l u e < / K e y > < / D i a g r a m O b j e c t K e y > < D i a g r a m O b j e c t K e y > < K e y > M e a s u r e s \ S u m   o f   A m b   a r r i v a l s < / K e y > < / D i a g r a m O b j e c t K e y > < D i a g r a m O b j e c t K e y > < K e y > M e a s u r e s \ S u m   o f   A m b   a r r i v a l s \ T a g I n f o \ F o r m u l a < / K e y > < / D i a g r a m O b j e c t K e y > < D i a g r a m O b j e c t K e y > < K e y > M e a s u r e s \ S u m   o f   A m b   a r r i v a l s \ T a g I n f o \ V a l u e < / K e y > < / D i a g r a m O b j e c t K e y > < D i a g r a m O b j e c t K e y > < K e y > M e a s u r e s \ S u m   o f   A m b   d e l a y s   3 0 - 6 0   m i n s < / K e y > < / D i a g r a m O b j e c t K e y > < D i a g r a m O b j e c t K e y > < K e y > M e a s u r e s \ S u m   o f   A m b   d e l a y s   3 0 - 6 0   m i n s \ T a g I n f o \ F o r m u l a < / K e y > < / D i a g r a m O b j e c t K e y > < D i a g r a m O b j e c t K e y > < K e y > M e a s u r e s \ S u m   o f   A m b   d e l a y s   3 0 - 6 0   m i n s \ T a g I n f o \ V a l u e < / K e y > < / D i a g r a m O b j e c t K e y > < D i a g r a m O b j e c t K e y > < K e y > M e a s u r e s \ S u m   o f   A m b   d e l a y s   o v e r   6 0   m i n s < / K e y > < / D i a g r a m O b j e c t K e y > < D i a g r a m O b j e c t K e y > < K e y > M e a s u r e s \ S u m   o f   A m b   d e l a y s   o v e r   6 0   m i n s \ T a g I n f o \ F o r m u l a < / K e y > < / D i a g r a m O b j e c t K e y > < D i a g r a m O b j e c t K e y > < K e y > M e a s u r e s \ S u m   o f   A m b   d e l a y s   o v e r   6 0   m i n s \ T a g I n f o \ V a l u e < / K e y > < / D i a g r a m O b j e c t K e y > < D i a g r a m O b j e c t K e y > < K e y > M e a s u r e s \ S u m   o f   A d u l t   C C   b e d s   a v a i l < / K e y > < / D i a g r a m O b j e c t K e y > < D i a g r a m O b j e c t K e y > < K e y > M e a s u r e s \ S u m   o f   A d u l t   C C   b e d s   a v a i l \ T a g I n f o \ F o r m u l a < / K e y > < / D i a g r a m O b j e c t K e y > < D i a g r a m O b j e c t K e y > < K e y > M e a s u r e s \ S u m   o f   A d u l t   C C   b e d s   a v a i l \ T a g I n f o \ V a l u e < / K e y > < / D i a g r a m O b j e c t K e y > < D i a g r a m O b j e c t K e y > < K e y > M e a s u r e s \ S u m   o f   A d u l t   C C   b e d s   o c c < / K e y > < / D i a g r a m O b j e c t K e y > < D i a g r a m O b j e c t K e y > < K e y > M e a s u r e s \ S u m   o f   A d u l t   C C   b e d s   o c c \ T a g I n f o \ F o r m u l a < / K e y > < / D i a g r a m O b j e c t K e y > < D i a g r a m O b j e c t K e y > < K e y > M e a s u r e s \ S u m   o f   A d u l t   C C   b e d s   o c c \ T a g I n f o \ V a l u e < / K e y > < / D i a g r a m O b j e c t K e y > < D i a g r a m O b j e c t K e y > < K e y > M e a s u r e s \ S u m   o f   P a e d   I n t   C a r e   A v a i l < / K e y > < / D i a g r a m O b j e c t K e y > < D i a g r a m O b j e c t K e y > < K e y > M e a s u r e s \ S u m   o f   P a e d   I n t   C a r e   A v a i l \ T a g I n f o \ F o r m u l a < / K e y > < / D i a g r a m O b j e c t K e y > < D i a g r a m O b j e c t K e y > < K e y > M e a s u r e s \ S u m   o f   P a e d   I n t   C a r e   A v a i l \ T a g I n f o \ V a l u e < / K e y > < / D i a g r a m O b j e c t K e y > < D i a g r a m O b j e c t K e y > < K e y > M e a s u r e s \ S u m   o f   P a e d   I n t   C a r e   O c c < / K e y > < / D i a g r a m O b j e c t K e y > < D i a g r a m O b j e c t K e y > < K e y > M e a s u r e s \ S u m   o f   P a e d   I n t   C a r e   O c c \ T a g I n f o \ F o r m u l a < / K e y > < / D i a g r a m O b j e c t K e y > < D i a g r a m O b j e c t K e y > < K e y > M e a s u r e s \ S u m   o f   P a e d   I n t   C a r e   O c c \ T a g I n f o \ V a l u e < / K e y > < / D i a g r a m O b j e c t K e y > < D i a g r a m O b j e c t K e y > < K e y > M e a s u r e s \ S u m   o f   N e o   I n t   C a r e   A v a i l < / K e y > < / D i a g r a m O b j e c t K e y > < D i a g r a m O b j e c t K e y > < K e y > M e a s u r e s \ S u m   o f   N e o   I n t   C a r e   A v a i l \ T a g I n f o \ F o r m u l a < / K e y > < / D i a g r a m O b j e c t K e y > < D i a g r a m O b j e c t K e y > < K e y > M e a s u r e s \ S u m   o f   N e o   I n t   C a r e   A v a i l \ T a g I n f o \ V a l u e < / K e y > < / D i a g r a m O b j e c t K e y > < D i a g r a m O b j e c t K e y > < K e y > M e a s u r e s \ S u m   o f   N e o   I n t   C a r e   o c c < / K e y > < / D i a g r a m O b j e c t K e y > < D i a g r a m O b j e c t K e y > < K e y > M e a s u r e s \ S u m   o f   N e o   I n t   C a r e   o c c \ T a g I n f o \ F o r m u l a < / K e y > < / D i a g r a m O b j e c t K e y > < D i a g r a m O b j e c t K e y > < K e y > M e a s u r e s \ S u m   o f   N e o   I n t   C a r e   o c c \ T a g I n f o \ V a l u e < / K e y > < / D i a g r a m O b j e c t K e y > < D i a g r a m O b j e c t K e y > < K e y > M e a s u r e s \ A v e r a g e   o f   N e o   I n t   C a r e   A v a i l < / K e y > < / D i a g r a m O b j e c t K e y > < D i a g r a m O b j e c t K e y > < K e y > M e a s u r e s \ A v e r a g e   o f   N e o   I n t   C a r e   A v a i l \ T a g I n f o \ F o r m u l a < / K e y > < / D i a g r a m O b j e c t K e y > < D i a g r a m O b j e c t K e y > < K e y > M e a s u r e s \ A v e r a g e   o f   N e o   I n t   C a r e   A v a i l \ T a g I n f o \ V a l u e < / K e y > < / D i a g r a m O b j e c t K e y > < D i a g r a m O b j e c t K e y > < K e y > M e a s u r e s \ A v e r a g e   o f   N e o   I n t   C a r e   o c c < / K e y > < / D i a g r a m O b j e c t K e y > < D i a g r a m O b j e c t K e y > < K e y > M e a s u r e s \ A v e r a g e   o f   N e o   I n t   C a r e   o c c \ T a g I n f o \ F o r m u l a < / K e y > < / D i a g r a m O b j e c t K e y > < D i a g r a m O b j e c t K e y > < K e y > M e a s u r e s \ A v e r a g e   o f   N e o   I n t   C a r e   o c c \ T a g I n f o \ V a l u e < / K e y > < / D i a g r a m O b j e c t K e y > < D i a g r a m O b j e c t K e y > < K e y > M e a s u r e s \ S u m   o f   G A   b e d   o c c u p a n c y < / K e y > < / D i a g r a m O b j e c t K e y > < D i a g r a m O b j e c t K e y > < K e y > M e a s u r e s \ S u m   o f   G A   b e d   o c c u p a n c y \ T a g I n f o \ F o r m u l a < / K e y > < / D i a g r a m O b j e c t K e y > < D i a g r a m O b j e c t K e y > < K e y > M e a s u r e s \ S u m   o f   G A   b e d   o c c u p a n c y \ T a g I n f o \ V a l u e < / K e y > < / D i a g r a m O b j e c t K e y > < D i a g r a m O b j e c t K e y > < K e y > M e a s u r e s \ A v e r a g e   o f   G A   b e d   o c c u p a n c y < / K e y > < / D i a g r a m O b j e c t K e y > < D i a g r a m O b j e c t K e y > < K e y > M e a s u r e s \ A v e r a g e   o f   G A   b e d   o c c u p a n c y \ T a g I n f o \ F o r m u l a < / K e y > < / D i a g r a m O b j e c t K e y > < D i a g r a m O b j e c t K e y > < K e y > M e a s u r e s \ A v e r a g e   o f   G A   b e d   o c c u p a n c y \ T a g I n f o \ V a l u e < / K e y > < / D i a g r a m O b j e c t K e y > < D i a g r a m O b j e c t K e y > < K e y > M e a s u r e s \ S u m   o f   G A   c o r e   b e d s   a v a i l < / K e y > < / D i a g r a m O b j e c t K e y > < D i a g r a m O b j e c t K e y > < K e y > M e a s u r e s \ S u m   o f   G A   c o r e   b e d s   a v a i l \ T a g I n f o \ F o r m u l a < / K e y > < / D i a g r a m O b j e c t K e y > < D i a g r a m O b j e c t K e y > < K e y > M e a s u r e s \ S u m   o f   G A   c o r e   b e d s   a v a i l \ T a g I n f o \ V a l u e < / K e y > < / D i a g r a m O b j e c t K e y > < D i a g r a m O b j e c t K e y > < K e y > M e a s u r e s \ S u m   o f   G A   e s c a l a t i o n   b e d s   a v a i l < / K e y > < / D i a g r a m O b j e c t K e y > < D i a g r a m O b j e c t K e y > < K e y > M e a s u r e s \ S u m   o f   G A   e s c a l a t i o n   b e d s   a v a i l \ T a g I n f o \ F o r m u l a < / K e y > < / D i a g r a m O b j e c t K e y > < D i a g r a m O b j e c t K e y > < K e y > M e a s u r e s \ S u m   o f   G A   e s c a l a t i o n   b e d s   a v a i l \ T a g I n f o \ V a l u e < / K e y > < / D i a g r a m O b j e c t K e y > < D i a g r a m O b j e c t K e y > < K e y > M e a s u r e s \ S u m   o f   B e d s   o c c   o v e r   1 4   d a y s   2 < / K e y > < / D i a g r a m O b j e c t K e y > < D i a g r a m O b j e c t K e y > < K e y > M e a s u r e s \ S u m   o f   B e d s   o c c   o v e r   1 4   d a y s   2 \ T a g I n f o \ F o r m u l a < / K e y > < / D i a g r a m O b j e c t K e y > < D i a g r a m O b j e c t K e y > < K e y > M e a s u r e s \ S u m   o f   B e d s   o c c   o v e r   1 4   d a y s   2 \ T a g I n f o \ V a l u e < / K e y > < / D i a g r a m O b j e c t K e y > < D i a g r a m O b j e c t K e y > < K e y > C o l u m n s \ I D < / K e y > < / D i a g r a m O b j e c t K e y > < D i a g r a m O b j e c t K e y > < K e y > C o l u m n s \ c r i _ i d < / K e y > < / D i a g r a m O b j e c t K e y > < D i a g r a m O b j e c t K e y > < K e y > C o l u m n s \ d r _ i d < / K e y > < / D i a g r a m O b j e c t K e y > < D i a g r a m O b j e c t K e y > < K e y > C o l u m n s \ o r g _ i d < / K e y > < / D i a g r a m O b j e c t K e y > < D i a g r a m O b j e c t K e y > < K e y > C o l u m n s \ c r i _ d a t a p e r i o d s t a r t < / K e y > < / D i a g r a m O b j e c t K e y > < D i a g r a m O b j e c t K e y > < K e y > C o l u m n s \ C o d e < / K e y > < / D i a g r a m O b j e c t K e y > < D i a g r a m O b j e c t K e y > < K e y > C o l u m n s \ N a m e < / K e y > < / D i a g r a m O b j e c t K e y > < D i a g r a m O b j e c t K e y > < K e y > C o l u m n s \ D a t e < / K e y > < / D i a g r a m O b j e c t K e y > < D i a g r a m O b j e c t K e y > < K e y > C o l u m n s \ W e e k < / K e y > < / D i a g r a m O b j e c t K e y > < D i a g r a m O b j e c t K e y > < K e y > C o l u m n s \ D a y < / K e y > < / D i a g r a m O b j e c t K e y > < D i a g r a m O b j e c t K e y > < K e y > C o l u m n s \ B a n k   h o l i d a y < / K e y > < / D i a g r a m O b j e c t K e y > < D i a g r a m O b j e c t K e y > < K e y > C o l u m n s \ A E   c l o s u r e s < / K e y > < / D i a g r a m O b j e c t K e y > < D i a g r a m O b j e c t K e y > < K e y > C o l u m n s \ A E   d i v e r t s < / K e y > < / D i a g r a m O b j e c t K e y > < D i a g r a m O b j e c t K e y > < K e y > C o l u m n s \ A E   t y p e   1   a t t e n d a n c e s < / K e y > < / D i a g r a m O b j e c t K e y > < D i a g r a m O b j e c t K e y > < K e y > C o l u m n s \ A E   t y p e   2   a t t e n d a n c e s < / K e y > < / D i a g r a m O b j e c t K e y > < D i a g r a m O b j e c t K e y > < K e y > C o l u m n s \ A E   t y p e   3   a t t e n d a n c e s < / K e y > < / D i a g r a m O b j e c t K e y > < D i a g r a m O b j e c t K e y > < K e y > C o l u m n s \ A E   t o t a l   a t t e n d a n c e s < / K e y > < / D i a g r a m O b j e c t K e y > < D i a g r a m O b j e c t K e y > < K e y > C o l u m n s \ E m e r g e n c y   a d m i s s i o n s < / K e y > < / D i a g r a m O b j e c t K e y > < D i a g r a m O b j e c t K e y > < K e y > C o l u m n s \ G A   c o r e   b e d s   a v a i l < / K e y > < / D i a g r a m O b j e c t K e y > < D i a g r a m O b j e c t K e y > < K e y > C o l u m n s \ G A   e s c a l a t i o n   b e d s   a v a i l < / K e y > < / D i a g r a m O b j e c t K e y > < D i a g r a m O b j e c t K e y > < K e y > C o l u m n s \ G A   t o t a l   b e d s   a v a i l < / K e y > < / D i a g r a m O b j e c t K e y > < D i a g r a m O b j e c t K e y > < K e y > C o l u m n s \ G A   t o t a l   b e d s   o c c u p i e d < / K e y > < / D i a g r a m O b j e c t K e y > < D i a g r a m O b j e c t K e y > < K e y > C o l u m n s \ B e d s   c l o s e d   n o r o v i r u s < / K e y > < / D i a g r a m O b j e c t K e y > < D i a g r a m O b j e c t K e y > < K e y > C o l u m n s \ B e d s   c l o s e d   n o r o v i u s   u n o c c < / K e y > < / D i a g r a m O b j e c t K e y > < D i a g r a m O b j e c t K e y > < K e y > C o l u m n s \ A d u l t   C C   b e d s   a v a i l < / K e y > < / D i a g r a m O b j e c t K e y > < D i a g r a m O b j e c t K e y > < K e y > C o l u m n s \ A d u l t   C C   b e d s   o c c < / K e y > < / D i a g r a m O b j e c t K e y > < D i a g r a m O b j e c t K e y > < K e y > C o l u m n s \ P a e d   I n t   C a r e   A v a i l < / K e y > < / D i a g r a m O b j e c t K e y > < D i a g r a m O b j e c t K e y > < K e y > C o l u m n s \ P a e d   I n t   C a r e   O c c < / K e y > < / D i a g r a m O b j e c t K e y > < D i a g r a m O b j e c t K e y > < K e y > C o l u m n s \ N e o   I n t   C a r e   A v a i l < / K e y > < / D i a g r a m O b j e c t K e y > < D i a g r a m O b j e c t K e y > < K e y > C o l u m n s \ N e o   I n t   C a r e   o c c < / K e y > < / D i a g r a m O b j e c t K e y > < D i a g r a m O b j e c t K e y > < K e y > C o l u m n s \ O P E L   3   o r   a b o v e < / K e y > < / D i a g r a m O b j e c t K e y > < D i a g r a m O b j e c t K e y > < K e y > C o l u m n s \ W e e k e n d < / K e y > < / D i a g r a m O b j e c t K e y > < D i a g r a m O b j e c t K e y > < K e y > C o l u m n s \ R e g i o n < / K e y > < / D i a g r a m O b j e c t K e y > < D i a g r a m O b j e c t K e y > < K e y > C o l u m n s \ Y e a r < / K e y > < / D i a g r a m O b j e c t K e y > < D i a g r a m O b j e c t K e y > < K e y > C o l u m n s \ B e d s   o c c   o v e r   7   d a y s < / K e y > < / D i a g r a m O b j e c t K e y > < D i a g r a m O b j e c t K e y > < K e y > C o l u m n s \ B e d s   o c c   o v e r   2 1   d a y s < / K e y > < / D i a g r a m O b j e c t K e y > < D i a g r a m O b j e c t K e y > < K e y > C o l u m n s \ A m b   a r r i v a l s < / K e y > < / D i a g r a m O b j e c t K e y > < D i a g r a m O b j e c t K e y > < K e y > C o l u m n s \ A m b   d e l a y s   3 0 - 6 0   m i n s < / K e y > < / D i a g r a m O b j e c t K e y > < D i a g r a m O b j e c t K e y > < K e y > C o l u m n s \ A m b   d e l a y s   o v e r   6 0   m i n s < / K e y > < / D i a g r a m O b j e c t K e y > < D i a g r a m O b j e c t K e y > < K e y > C o l u m n s \ W e e k   l o n g < / K e y > < / D i a g r a m O b j e c t K e y > < D i a g r a m O b j e c t K e y > < K e y > C o l u m n s \ G A   b e d   o c c u p a n c y < / K e y > < / D i a g r a m O b j e c t K e y > < D i a g r a m O b j e c t K e y > < K e y > C o l u m n s \ B e d s   o c c   o v e r   1 4   d a y s < / K e y > < / D i a g r a m O b j e c t K e y > < D i a g r a m O b j e c t K e y > < K e y > L i n k s \ & l t ; C o l u m n s \ S u m   o f   A E   d i v e r t s & g t ; - & l t ; M e a s u r e s \ A E   d i v e r t s & g t ; < / K e y > < / D i a g r a m O b j e c t K e y > < D i a g r a m O b j e c t K e y > < K e y > L i n k s \ & l t ; C o l u m n s \ S u m   o f   A E   d i v e r t s & g t ; - & l t ; M e a s u r e s \ A E   d i v e r t s & g t ; \ C O L U M N < / K e y > < / D i a g r a m O b j e c t K e y > < D i a g r a m O b j e c t K e y > < K e y > L i n k s \ & l t ; C o l u m n s \ S u m   o f   A E   d i v e r t s & g t ; - & l t ; M e a s u r e s \ A E   d i v e r t s & g t ; \ M E A S U R E < / K e y > < / D i a g r a m O b j e c t K e y > < D i a g r a m O b j e c t K e y > < K e y > L i n k s \ & l t ; C o l u m n s \ S u m   o f   G A   t o t a l   b e d s   o c c u p i e d & g t ; - & l t ; M e a s u r e s \ G A   t o t a l   b e d s   o c c u p i e d & g t ; < / K e y > < / D i a g r a m O b j e c t K e y > < D i a g r a m O b j e c t K e y > < K e y > L i n k s \ & l t ; C o l u m n s \ S u m   o f   G A   t o t a l   b e d s   o c c u p i e d & g t ; - & l t ; M e a s u r e s \ G A   t o t a l   b e d s   o c c u p i e d & g t ; \ C O L U M N < / K e y > < / D i a g r a m O b j e c t K e y > < D i a g r a m O b j e c t K e y > < K e y > L i n k s \ & l t ; C o l u m n s \ S u m   o f   G A   t o t a l   b e d s   o c c u p i e d & g t ; - & l t ; M e a s u r e s \ G A   t o t a l   b e d s   o c c u p i e d & g t ; \ M E A S U R E < / K e y > < / D i a g r a m O b j e c t K e y > < D i a g r a m O b j e c t K e y > < K e y > L i n k s \ & l t ; C o l u m n s \ A v e r a g e   o f   G A   t o t a l   b e d s   o c c u p i e d & g t ; - & l t ; M e a s u r e s \ G A   t o t a l   b e d s   o c c u p i e d & g t ; < / K e y > < / D i a g r a m O b j e c t K e y > < D i a g r a m O b j e c t K e y > < K e y > L i n k s \ & l t ; C o l u m n s \ A v e r a g e   o f   G A   t o t a l   b e d s   o c c u p i e d & g t ; - & l t ; M e a s u r e s \ G A   t o t a l   b e d s   o c c u p i e d & g t ; \ C O L U M N < / K e y > < / D i a g r a m O b j e c t K e y > < D i a g r a m O b j e c t K e y > < K e y > L i n k s \ & l t ; C o l u m n s \ A v e r a g e   o f   G A   t o t a l   b e d s   o c c u p i e d & g t ; - & l t ; M e a s u r e s \ G A   t o t a l   b e d s   o c c u p i e d & g t ; \ M E A S U R E < / K e y > < / D i a g r a m O b j e c t K e y > < D i a g r a m O b j e c t K e y > < K e y > L i n k s \ & l t ; C o l u m n s \ S u m   o f   G A   t o t a l   b e d s   a v a i l & g t ; - & l t ; M e a s u r e s \ G A   t o t a l   b e d s   a v a i l & g t ; < / K e y > < / D i a g r a m O b j e c t K e y > < D i a g r a m O b j e c t K e y > < K e y > L i n k s \ & l t ; C o l u m n s \ S u m   o f   G A   t o t a l   b e d s   a v a i l & g t ; - & l t ; M e a s u r e s \ G A   t o t a l   b e d s   a v a i l & g t ; \ C O L U M N < / K e y > < / D i a g r a m O b j e c t K e y > < D i a g r a m O b j e c t K e y > < K e y > L i n k s \ & l t ; C o l u m n s \ S u m   o f   G A   t o t a l   b e d s   a v a i l & g t ; - & l t ; M e a s u r e s \ G A   t o t a l   b e d s   a v a i l & g t ; \ M E A S U R E < / K e y > < / D i a g r a m O b j e c t K e y > < D i a g r a m O b j e c t K e y > < K e y > L i n k s \ & l t ; C o l u m n s \ S u m   o f   B e d s   o c c   o v e r   7   d a y s & g t ; - & l t ; M e a s u r e s \ B e d s   o c c   o v e r   7   d a y s & g t ; < / K e y > < / D i a g r a m O b j e c t K e y > < D i a g r a m O b j e c t K e y > < K e y > L i n k s \ & l t ; C o l u m n s \ S u m   o f   B e d s   o c c   o v e r   7   d a y s & g t ; - & l t ; M e a s u r e s \ B e d s   o c c   o v e r   7   d a y s & g t ; \ C O L U M N < / K e y > < / D i a g r a m O b j e c t K e y > < D i a g r a m O b j e c t K e y > < K e y > L i n k s \ & l t ; C o l u m n s \ S u m   o f   B e d s   o c c   o v e r   7   d a y s & g t ; - & l t ; M e a s u r e s \ B e d s   o c c   o v e r   7   d a y s & g t ; \ M E A S U R E < / K e y > < / D i a g r a m O b j e c t K e y > < D i a g r a m O b j e c t K e y > < K e y > L i n k s \ & l t ; C o l u m n s \ S u m   o f   B e d s   o c c   o v e r   2 1   d a y s & g t ; - & l t ; M e a s u r e s \ B e d s   o c c   o v e r   2 1   d a y s & g t ; < / K e y > < / D i a g r a m O b j e c t K e y > < D i a g r a m O b j e c t K e y > < K e y > L i n k s \ & l t ; C o l u m n s \ S u m   o f   B e d s   o c c   o v e r   2 1   d a y s & g t ; - & l t ; M e a s u r e s \ B e d s   o c c   o v e r   2 1   d a y s & g t ; \ C O L U M N < / K e y > < / D i a g r a m O b j e c t K e y > < D i a g r a m O b j e c t K e y > < K e y > L i n k s \ & l t ; C o l u m n s \ S u m   o f   B e d s   o c c   o v e r   2 1   d a y s & g t ; - & l t ; M e a s u r e s \ B e d s   o c c   o v e r   2 1   d a y s & g t ; \ M E A S U R E < / K e y > < / D i a g r a m O b j e c t K e y > < D i a g r a m O b j e c t K e y > < K e y > L i n k s \ & l t ; C o l u m n s \ A v e r a g e   o f   B e d s   o c c   o v e r   2 1   d a y s & g t ; - & l t ; M e a s u r e s \ B e d s   o c c   o v e r   2 1   d a y s & g t ; < / K e y > < / D i a g r a m O b j e c t K e y > < D i a g r a m O b j e c t K e y > < K e y > L i n k s \ & l t ; C o l u m n s \ A v e r a g e   o f   B e d s   o c c   o v e r   2 1   d a y s & g t ; - & l t ; M e a s u r e s \ B e d s   o c c   o v e r   2 1   d a y s & g t ; \ C O L U M N < / K e y > < / D i a g r a m O b j e c t K e y > < D i a g r a m O b j e c t K e y > < K e y > L i n k s \ & l t ; C o l u m n s \ A v e r a g e   o f   B e d s   o c c   o v e r   2 1   d a y s & g t ; - & l t ; M e a s u r e s \ B e d s   o c c   o v e r   2 1   d a y s & g t ; \ M E A S U R E < / K e y > < / D i a g r a m O b j e c t K e y > < D i a g r a m O b j e c t K e y > < K e y > L i n k s \ & l t ; C o l u m n s \ S u m   o f   B e d s   c l o s e d   n o r o v i r u s & g t ; - & l t ; M e a s u r e s \ B e d s   c l o s e d   n o r o v i r u s & g t ; < / K e y > < / D i a g r a m O b j e c t K e y > < D i a g r a m O b j e c t K e y > < K e y > L i n k s \ & l t ; C o l u m n s \ S u m   o f   B e d s   c l o s e d   n o r o v i r u s & g t ; - & l t ; M e a s u r e s \ B e d s   c l o s e d   n o r o v i r u s & g t ; \ C O L U M N < / K e y > < / D i a g r a m O b j e c t K e y > < D i a g r a m O b j e c t K e y > < K e y > L i n k s \ & l t ; C o l u m n s \ S u m   o f   B e d s   c l o s e d   n o r o v i r u s & g t ; - & l t ; M e a s u r e s \ B e d s   c l o s e d   n o r o v i r u s & g t ; \ M E A S U R E < / K e y > < / D i a g r a m O b j e c t K e y > < D i a g r a m O b j e c t K e y > < K e y > L i n k s \ & l t ; C o l u m n s \ A v e r a g e   o f   B e d s   c l o s e d   n o r o v i r u s & g t ; - & l t ; M e a s u r e s \ B e d s   c l o s e d   n o r o v i r u s & g t ; < / K e y > < / D i a g r a m O b j e c t K e y > < D i a g r a m O b j e c t K e y > < K e y > L i n k s \ & l t ; C o l u m n s \ A v e r a g e   o f   B e d s   c l o s e d   n o r o v i r u s & g t ; - & l t ; M e a s u r e s \ B e d s   c l o s e d   n o r o v i r u s & g t ; \ C O L U M N < / K e y > < / D i a g r a m O b j e c t K e y > < D i a g r a m O b j e c t K e y > < K e y > L i n k s \ & l t ; C o l u m n s \ A v e r a g e   o f   B e d s   c l o s e d   n o r o v i r u s & g t ; - & l t ; M e a s u r e s \ B e d s   c l o s e d   n o r o v i r u s & g t ; \ M E A S U R E < / K e y > < / D i a g r a m O b j e c t K e y > < D i a g r a m O b j e c t K e y > < K e y > L i n k s \ & l t ; C o l u m n s \ S u m   o f   B e d s   c l o s e d   n o r o v i u s   u n o c c & g t ; - & l t ; M e a s u r e s \ B e d s   c l o s e d   n o r o v i u s   u n o c c & g t ; < / K e y > < / D i a g r a m O b j e c t K e y > < D i a g r a m O b j e c t K e y > < K e y > L i n k s \ & l t ; C o l u m n s \ S u m   o f   B e d s   c l o s e d   n o r o v i u s   u n o c c & g t ; - & l t ; M e a s u r e s \ B e d s   c l o s e d   n o r o v i u s   u n o c c & g t ; \ C O L U M N < / K e y > < / D i a g r a m O b j e c t K e y > < D i a g r a m O b j e c t K e y > < K e y > L i n k s \ & l t ; C o l u m n s \ S u m   o f   B e d s   c l o s e d   n o r o v i u s   u n o c c & g t ; - & l t ; M e a s u r e s \ B e d s   c l o s e d   n o r o v i u s   u n o c c & g t ; \ M E A S U R E < / K e y > < / D i a g r a m O b j e c t K e y > < D i a g r a m O b j e c t K e y > < K e y > L i n k s \ & l t ; C o l u m n s \ S u m   o f   A m b   a r r i v a l s & g t ; - & l t ; M e a s u r e s \ A m b   a r r i v a l s & g t ; < / K e y > < / D i a g r a m O b j e c t K e y > < D i a g r a m O b j e c t K e y > < K e y > L i n k s \ & l t ; C o l u m n s \ S u m   o f   A m b   a r r i v a l s & g t ; - & l t ; M e a s u r e s \ A m b   a r r i v a l s & g t ; \ C O L U M N < / K e y > < / D i a g r a m O b j e c t K e y > < D i a g r a m O b j e c t K e y > < K e y > L i n k s \ & l t ; C o l u m n s \ S u m   o f   A m b   a r r i v a l s & g t ; - & l t ; M e a s u r e s \ A m b   a r r i v a l s & g t ; \ M E A S U R E < / K e y > < / D i a g r a m O b j e c t K e y > < D i a g r a m O b j e c t K e y > < K e y > L i n k s \ & l t ; C o l u m n s \ S u m   o f   A m b   d e l a y s   3 0 - 6 0   m i n s & g t ; - & l t ; M e a s u r e s \ A m b   d e l a y s   3 0 - 6 0   m i n s & g t ; < / K e y > < / D i a g r a m O b j e c t K e y > < D i a g r a m O b j e c t K e y > < K e y > L i n k s \ & l t ; C o l u m n s \ S u m   o f   A m b   d e l a y s   3 0 - 6 0   m i n s & g t ; - & l t ; M e a s u r e s \ A m b   d e l a y s   3 0 - 6 0   m i n s & g t ; \ C O L U M N < / K e y > < / D i a g r a m O b j e c t K e y > < D i a g r a m O b j e c t K e y > < K e y > L i n k s \ & l t ; C o l u m n s \ S u m   o f   A m b   d e l a y s   3 0 - 6 0   m i n s & g t ; - & l t ; M e a s u r e s \ A m b   d e l a y s   3 0 - 6 0   m i n s & g t ; \ M E A S U R E < / K e y > < / D i a g r a m O b j e c t K e y > < D i a g r a m O b j e c t K e y > < K e y > L i n k s \ & l t ; C o l u m n s \ S u m   o f   A m b   d e l a y s   o v e r   6 0   m i n s & g t ; - & l t ; M e a s u r e s \ A m b   d e l a y s   o v e r   6 0   m i n s & g t ; < / K e y > < / D i a g r a m O b j e c t K e y > < D i a g r a m O b j e c t K e y > < K e y > L i n k s \ & l t ; C o l u m n s \ S u m   o f   A m b   d e l a y s   o v e r   6 0   m i n s & g t ; - & l t ; M e a s u r e s \ A m b   d e l a y s   o v e r   6 0   m i n s & g t ; \ C O L U M N < / K e y > < / D i a g r a m O b j e c t K e y > < D i a g r a m O b j e c t K e y > < K e y > L i n k s \ & l t ; C o l u m n s \ S u m   o f   A m b   d e l a y s   o v e r   6 0   m i n s & g t ; - & l t ; M e a s u r e s \ A m b   d e l a y s   o v e r   6 0   m i n s & g t ; \ M E A S U R E < / K e y > < / D i a g r a m O b j e c t K e y > < D i a g r a m O b j e c t K e y > < K e y > L i n k s \ & l t ; C o l u m n s \ S u m   o f   A d u l t   C C   b e d s   a v a i l & g t ; - & l t ; M e a s u r e s \ A d u l t   C C   b e d s   a v a i l & g t ; < / K e y > < / D i a g r a m O b j e c t K e y > < D i a g r a m O b j e c t K e y > < K e y > L i n k s \ & l t ; C o l u m n s \ S u m   o f   A d u l t   C C   b e d s   a v a i l & g t ; - & l t ; M e a s u r e s \ A d u l t   C C   b e d s   a v a i l & g t ; \ C O L U M N < / K e y > < / D i a g r a m O b j e c t K e y > < D i a g r a m O b j e c t K e y > < K e y > L i n k s \ & l t ; C o l u m n s \ S u m   o f   A d u l t   C C   b e d s   a v a i l & g t ; - & l t ; M e a s u r e s \ A d u l t   C C   b e d s   a v a i l & g t ; \ M E A S U R E < / K e y > < / D i a g r a m O b j e c t K e y > < D i a g r a m O b j e c t K e y > < K e y > L i n k s \ & l t ; C o l u m n s \ S u m   o f   A d u l t   C C   b e d s   o c c & g t ; - & l t ; M e a s u r e s \ A d u l t   C C   b e d s   o c c & g t ; < / K e y > < / D i a g r a m O b j e c t K e y > < D i a g r a m O b j e c t K e y > < K e y > L i n k s \ & l t ; C o l u m n s \ S u m   o f   A d u l t   C C   b e d s   o c c & g t ; - & l t ; M e a s u r e s \ A d u l t   C C   b e d s   o c c & g t ; \ C O L U M N < / K e y > < / D i a g r a m O b j e c t K e y > < D i a g r a m O b j e c t K e y > < K e y > L i n k s \ & l t ; C o l u m n s \ S u m   o f   A d u l t   C C   b e d s   o c c & g t ; - & l t ; M e a s u r e s \ A d u l t   C C   b e d s   o c c & g t ; \ M E A S U R E < / K e y > < / D i a g r a m O b j e c t K e y > < D i a g r a m O b j e c t K e y > < K e y > L i n k s \ & l t ; C o l u m n s \ S u m   o f   P a e d   I n t   C a r e   A v a i l & g t ; - & l t ; M e a s u r e s \ P a e d   I n t   C a r e   A v a i l & g t ; < / K e y > < / D i a g r a m O b j e c t K e y > < D i a g r a m O b j e c t K e y > < K e y > L i n k s \ & l t ; C o l u m n s \ S u m   o f   P a e d   I n t   C a r e   A v a i l & g t ; - & l t ; M e a s u r e s \ P a e d   I n t   C a r e   A v a i l & g t ; \ C O L U M N < / K e y > < / D i a g r a m O b j e c t K e y > < D i a g r a m O b j e c t K e y > < K e y > L i n k s \ & l t ; C o l u m n s \ S u m   o f   P a e d   I n t   C a r e   A v a i l & g t ; - & l t ; M e a s u r e s \ P a e d   I n t   C a r e   A v a i l & g t ; \ M E A S U R E < / K e y > < / D i a g r a m O b j e c t K e y > < D i a g r a m O b j e c t K e y > < K e y > L i n k s \ & l t ; C o l u m n s \ S u m   o f   P a e d   I n t   C a r e   O c c & g t ; - & l t ; M e a s u r e s \ P a e d   I n t   C a r e   O c c & g t ; < / K e y > < / D i a g r a m O b j e c t K e y > < D i a g r a m O b j e c t K e y > < K e y > L i n k s \ & l t ; C o l u m n s \ S u m   o f   P a e d   I n t   C a r e   O c c & g t ; - & l t ; M e a s u r e s \ P a e d   I n t   C a r e   O c c & g t ; \ C O L U M N < / K e y > < / D i a g r a m O b j e c t K e y > < D i a g r a m O b j e c t K e y > < K e y > L i n k s \ & l t ; C o l u m n s \ S u m   o f   P a e d   I n t   C a r e   O c c & g t ; - & l t ; M e a s u r e s \ P a e d   I n t   C a r e   O c c & g t ; \ M E A S U R E < / K e y > < / D i a g r a m O b j e c t K e y > < D i a g r a m O b j e c t K e y > < K e y > L i n k s \ & l t ; C o l u m n s \ S u m   o f   N e o   I n t   C a r e   A v a i l & g t ; - & l t ; M e a s u r e s \ N e o   I n t   C a r e   A v a i l & g t ; < / K e y > < / D i a g r a m O b j e c t K e y > < D i a g r a m O b j e c t K e y > < K e y > L i n k s \ & l t ; C o l u m n s \ S u m   o f   N e o   I n t   C a r e   A v a i l & g t ; - & l t ; M e a s u r e s \ N e o   I n t   C a r e   A v a i l & g t ; \ C O L U M N < / K e y > < / D i a g r a m O b j e c t K e y > < D i a g r a m O b j e c t K e y > < K e y > L i n k s \ & l t ; C o l u m n s \ S u m   o f   N e o   I n t   C a r e   A v a i l & g t ; - & l t ; M e a s u r e s \ N e o   I n t   C a r e   A v a i l & g t ; \ M E A S U R E < / K e y > < / D i a g r a m O b j e c t K e y > < D i a g r a m O b j e c t K e y > < K e y > L i n k s \ & l t ; C o l u m n s \ S u m   o f   N e o   I n t   C a r e   o c c & g t ; - & l t ; M e a s u r e s \ N e o   I n t   C a r e   o c c & g t ; < / K e y > < / D i a g r a m O b j e c t K e y > < D i a g r a m O b j e c t K e y > < K e y > L i n k s \ & l t ; C o l u m n s \ S u m   o f   N e o   I n t   C a r e   o c c & g t ; - & l t ; M e a s u r e s \ N e o   I n t   C a r e   o c c & g t ; \ C O L U M N < / K e y > < / D i a g r a m O b j e c t K e y > < D i a g r a m O b j e c t K e y > < K e y > L i n k s \ & l t ; C o l u m n s \ S u m   o f   N e o   I n t   C a r e   o c c & g t ; - & l t ; M e a s u r e s \ N e o   I n t   C a r e   o c c & g t ; \ M E A S U R E < / K e y > < / D i a g r a m O b j e c t K e y > < D i a g r a m O b j e c t K e y > < K e y > L i n k s \ & l t ; C o l u m n s \ A v e r a g e   o f   N e o   I n t   C a r e   A v a i l & g t ; - & l t ; M e a s u r e s \ N e o   I n t   C a r e   A v a i l & g t ; < / K e y > < / D i a g r a m O b j e c t K e y > < D i a g r a m O b j e c t K e y > < K e y > L i n k s \ & l t ; C o l u m n s \ A v e r a g e   o f   N e o   I n t   C a r e   A v a i l & g t ; - & l t ; M e a s u r e s \ N e o   I n t   C a r e   A v a i l & g t ; \ C O L U M N < / K e y > < / D i a g r a m O b j e c t K e y > < D i a g r a m O b j e c t K e y > < K e y > L i n k s \ & l t ; C o l u m n s \ A v e r a g e   o f   N e o   I n t   C a r e   A v a i l & g t ; - & l t ; M e a s u r e s \ N e o   I n t   C a r e   A v a i l & g t ; \ M E A S U R E < / K e y > < / D i a g r a m O b j e c t K e y > < D i a g r a m O b j e c t K e y > < K e y > L i n k s \ & l t ; C o l u m n s \ A v e r a g e   o f   N e o   I n t   C a r e   o c c & g t ; - & l t ; M e a s u r e s \ N e o   I n t   C a r e   o c c & g t ; < / K e y > < / D i a g r a m O b j e c t K e y > < D i a g r a m O b j e c t K e y > < K e y > L i n k s \ & l t ; C o l u m n s \ A v e r a g e   o f   N e o   I n t   C a r e   o c c & g t ; - & l t ; M e a s u r e s \ N e o   I n t   C a r e   o c c & g t ; \ C O L U M N < / K e y > < / D i a g r a m O b j e c t K e y > < D i a g r a m O b j e c t K e y > < K e y > L i n k s \ & l t ; C o l u m n s \ A v e r a g e   o f   N e o   I n t   C a r e   o c c & g t ; - & l t ; M e a s u r e s \ N e o   I n t   C a r e   o c c & g t ; \ M E A S U R E < / K e y > < / D i a g r a m O b j e c t K e y > < D i a g r a m O b j e c t K e y > < K e y > L i n k s \ & l t ; C o l u m n s \ S u m   o f   G A   b e d   o c c u p a n c y & g t ; - & l t ; M e a s u r e s \ G A   b e d   o c c u p a n c y & g t ; < / K e y > < / D i a g r a m O b j e c t K e y > < D i a g r a m O b j e c t K e y > < K e y > L i n k s \ & l t ; C o l u m n s \ S u m   o f   G A   b e d   o c c u p a n c y & g t ; - & l t ; M e a s u r e s \ G A   b e d   o c c u p a n c y & g t ; \ C O L U M N < / K e y > < / D i a g r a m O b j e c t K e y > < D i a g r a m O b j e c t K e y > < K e y > L i n k s \ & l t ; C o l u m n s \ S u m   o f   G A   b e d   o c c u p a n c y & g t ; - & l t ; M e a s u r e s \ G A   b e d   o c c u p a n c y & g t ; \ M E A S U R E < / K e y > < / D i a g r a m O b j e c t K e y > < D i a g r a m O b j e c t K e y > < K e y > L i n k s \ & l t ; C o l u m n s \ A v e r a g e   o f   G A   b e d   o c c u p a n c y & g t ; - & l t ; M e a s u r e s \ G A   b e d   o c c u p a n c y & g t ; < / K e y > < / D i a g r a m O b j e c t K e y > < D i a g r a m O b j e c t K e y > < K e y > L i n k s \ & l t ; C o l u m n s \ A v e r a g e   o f   G A   b e d   o c c u p a n c y & g t ; - & l t ; M e a s u r e s \ G A   b e d   o c c u p a n c y & g t ; \ C O L U M N < / K e y > < / D i a g r a m O b j e c t K e y > < D i a g r a m O b j e c t K e y > < K e y > L i n k s \ & l t ; C o l u m n s \ A v e r a g e   o f   G A   b e d   o c c u p a n c y & g t ; - & l t ; M e a s u r e s \ G A   b e d   o c c u p a n c y & g t ; \ M E A S U R E < / K e y > < / D i a g r a m O b j e c t K e y > < D i a g r a m O b j e c t K e y > < K e y > L i n k s \ & l t ; C o l u m n s \ S u m   o f   G A   c o r e   b e d s   a v a i l & g t ; - & l t ; M e a s u r e s \ G A   c o r e   b e d s   a v a i l & g t ; < / K e y > < / D i a g r a m O b j e c t K e y > < D i a g r a m O b j e c t K e y > < K e y > L i n k s \ & l t ; C o l u m n s \ S u m   o f   G A   c o r e   b e d s   a v a i l & g t ; - & l t ; M e a s u r e s \ G A   c o r e   b e d s   a v a i l & g t ; \ C O L U M N < / K e y > < / D i a g r a m O b j e c t K e y > < D i a g r a m O b j e c t K e y > < K e y > L i n k s \ & l t ; C o l u m n s \ S u m   o f   G A   c o r e   b e d s   a v a i l & g t ; - & l t ; M e a s u r e s \ G A   c o r e   b e d s   a v a i l & g t ; \ M E A S U R E < / K e y > < / D i a g r a m O b j e c t K e y > < D i a g r a m O b j e c t K e y > < K e y > L i n k s \ & l t ; C o l u m n s \ S u m   o f   G A   e s c a l a t i o n   b e d s   a v a i l & g t ; - & l t ; M e a s u r e s \ G A   e s c a l a t i o n   b e d s   a v a i l & g t ; < / K e y > < / D i a g r a m O b j e c t K e y > < D i a g r a m O b j e c t K e y > < K e y > L i n k s \ & l t ; C o l u m n s \ S u m   o f   G A   e s c a l a t i o n   b e d s   a v a i l & g t ; - & l t ; M e a s u r e s \ G A   e s c a l a t i o n   b e d s   a v a i l & g t ; \ C O L U M N < / K e y > < / D i a g r a m O b j e c t K e y > < D i a g r a m O b j e c t K e y > < K e y > L i n k s \ & l t ; C o l u m n s \ S u m   o f   G A   e s c a l a t i o n   b e d s   a v a i l & g t ; - & l t ; M e a s u r e s \ G A   e s c a l a t i o n   b e d s   a v a i l & g t ; \ M E A S U R E < / K e y > < / D i a g r a m O b j e c t K e y > < D i a g r a m O b j e c t K e y > < K e y > L i n k s \ & l t ; C o l u m n s \ S u m   o f   B e d s   o c c   o v e r   1 4   d a y s   2 & g t ; - & l t ; M e a s u r e s \ B e d s   o c c   o v e r   1 4   d a y s & g t ; < / K e y > < / D i a g r a m O b j e c t K e y > < D i a g r a m O b j e c t K e y > < K e y > L i n k s \ & l t ; C o l u m n s \ S u m   o f   B e d s   o c c   o v e r   1 4   d a y s   2 & g t ; - & l t ; M e a s u r e s \ B e d s   o c c   o v e r   1 4   d a y s & g t ; \ C O L U M N < / K e y > < / D i a g r a m O b j e c t K e y > < D i a g r a m O b j e c t K e y > < K e y > L i n k s \ & l t ; C o l u m n s \ S u m   o f   B e d s   o c c   o v e r   1 4   d a y s   2 & g t ; - & l t ; M e a s u r e s \ B e d s   o c c   o v e r   1 4   d a y s & g t ; \ M E A S U R E 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 A E   d i v e r t s < / K e y > < / a : K e y > < a : V a l u e   i : t y p e = " M e a s u r e G r i d N o d e V i e w S t a t e " > < C o l u m n > 1 3 < / C o l u m n > < L a y e d O u t > t r u e < / L a y e d O u t > < W a s U I I n v i s i b l e > t r u e < / W a s U I I n v i s i b l e > < / a : V a l u e > < / a : K e y V a l u e O f D i a g r a m O b j e c t K e y a n y T y p e z b w N T n L X > < a : K e y V a l u e O f D i a g r a m O b j e c t K e y a n y T y p e z b w N T n L X > < a : K e y > < K e y > M e a s u r e s \ S u m   o f   A E   d i v e r t s \ T a g I n f o \ F o r m u l a < / K e y > < / a : K e y > < a : V a l u e   i : t y p e = " M e a s u r e G r i d V i e w S t a t e I D i a g r a m T a g A d d i t i o n a l I n f o " / > < / a : K e y V a l u e O f D i a g r a m O b j e c t K e y a n y T y p e z b w N T n L X > < a : K e y V a l u e O f D i a g r a m O b j e c t K e y a n y T y p e z b w N T n L X > < a : K e y > < K e y > M e a s u r e s \ S u m   o f   A E   d i v e r t s \ T a g I n f o \ V a l u e < / K e y > < / a : K e y > < a : V a l u e   i : t y p e = " M e a s u r e G r i d V i e w S t a t e I D i a g r a m T a g A d d i t i o n a l I n f o " / > < / a : K e y V a l u e O f D i a g r a m O b j e c t K e y a n y T y p e z b w N T n L X > < a : K e y V a l u e O f D i a g r a m O b j e c t K e y a n y T y p e z b w N T n L X > < a : K e y > < K e y > M e a s u r e s \ S u m   o f   G A   t o t a l   b e d s   o c c u p i e d < / K e y > < / a : K e y > < a : V a l u e   i : t y p e = " M e a s u r e G r i d N o d e V i e w S t a t e " > < C o l u m n > 2 2 < / C o l u m n > < L a y e d O u t > t r u e < / L a y e d O u t > < W a s U I I n v i s i b l e > t r u e < / W a s U I I n v i s i b l e > < / a : V a l u e > < / a : K e y V a l u e O f D i a g r a m O b j e c t K e y a n y T y p e z b w N T n L X > < a : K e y V a l u e O f D i a g r a m O b j e c t K e y a n y T y p e z b w N T n L X > < a : K e y > < K e y > M e a s u r e s \ S u m   o f   G A   t o t a l   b e d s   o c c u p i e d \ T a g I n f o \ F o r m u l a < / K e y > < / a : K e y > < a : V a l u e   i : t y p e = " M e a s u r e G r i d V i e w S t a t e I D i a g r a m T a g A d d i t i o n a l I n f o " / > < / a : K e y V a l u e O f D i a g r a m O b j e c t K e y a n y T y p e z b w N T n L X > < a : K e y V a l u e O f D i a g r a m O b j e c t K e y a n y T y p e z b w N T n L X > < a : K e y > < K e y > M e a s u r e s \ S u m   o f   G A   t o t a l   b e d s   o c c u p i e d \ T a g I n f o \ V a l u e < / K e y > < / a : K e y > < a : V a l u e   i : t y p e = " M e a s u r e G r i d V i e w S t a t e I D i a g r a m T a g A d d i t i o n a l I n f o " / > < / a : K e y V a l u e O f D i a g r a m O b j e c t K e y a n y T y p e z b w N T n L X > < a : K e y V a l u e O f D i a g r a m O b j e c t K e y a n y T y p e z b w N T n L X > < a : K e y > < K e y > M e a s u r e s \ A v e r a g e   o f   G A   t o t a l   b e d s   o c c u p i e d < / K e y > < / a : K e y > < a : V a l u e   i : t y p e = " M e a s u r e G r i d N o d e V i e w S t a t e " > < C o l u m n > 2 2 < / C o l u m n > < L a y e d O u t > t r u e < / L a y e d O u t > < R o w > 1 < / R o w > < W a s U I I n v i s i b l e > t r u e < / W a s U I I n v i s i b l e > < / a : V a l u e > < / a : K e y V a l u e O f D i a g r a m O b j e c t K e y a n y T y p e z b w N T n L X > < a : K e y V a l u e O f D i a g r a m O b j e c t K e y a n y T y p e z b w N T n L X > < a : K e y > < K e y > M e a s u r e s \ A v e r a g e   o f   G A   t o t a l   b e d s   o c c u p i e d \ T a g I n f o \ F o r m u l a < / K e y > < / a : K e y > < a : V a l u e   i : t y p e = " M e a s u r e G r i d V i e w S t a t e I D i a g r a m T a g A d d i t i o n a l I n f o " / > < / a : K e y V a l u e O f D i a g r a m O b j e c t K e y a n y T y p e z b w N T n L X > < a : K e y V a l u e O f D i a g r a m O b j e c t K e y a n y T y p e z b w N T n L X > < a : K e y > < K e y > M e a s u r e s \ A v e r a g e   o f   G A   t o t a l   b e d s   o c c u p i e d \ T a g I n f o \ V a l u e < / K e y > < / a : K e y > < a : V a l u e   i : t y p e = " M e a s u r e G r i d V i e w S t a t e I D i a g r a m T a g A d d i t i o n a l I n f o " / > < / a : K e y V a l u e O f D i a g r a m O b j e c t K e y a n y T y p e z b w N T n L X > < a : K e y V a l u e O f D i a g r a m O b j e c t K e y a n y T y p e z b w N T n L X > < a : K e y > < K e y > M e a s u r e s \ S u m   o f   G A   t o t a l   b e d s   a v a i l < / K e y > < / a : K e y > < a : V a l u e   i : t y p e = " M e a s u r e G r i d N o d e V i e w S t a t e " > < C o l u m n > 2 1 < / C o l u m n > < L a y e d O u t > t r u e < / L a y e d O u t > < W a s U I I n v i s i b l e > t r u e < / W a s U I I n v i s i b l e > < / a : V a l u e > < / a : K e y V a l u e O f D i a g r a m O b j e c t K e y a n y T y p e z b w N T n L X > < a : K e y V a l u e O f D i a g r a m O b j e c t K e y a n y T y p e z b w N T n L X > < a : K e y > < K e y > M e a s u r e s \ S u m   o f   G A   t o t a l   b e d s   a v a i l \ T a g I n f o \ F o r m u l a < / K e y > < / a : K e y > < a : V a l u e   i : t y p e = " M e a s u r e G r i d V i e w S t a t e I D i a g r a m T a g A d d i t i o n a l I n f o " / > < / a : K e y V a l u e O f D i a g r a m O b j e c t K e y a n y T y p e z b w N T n L X > < a : K e y V a l u e O f D i a g r a m O b j e c t K e y a n y T y p e z b w N T n L X > < a : K e y > < K e y > M e a s u r e s \ S u m   o f   G A   t o t a l   b e d s   a v a i l \ T a g I n f o \ V a l u e < / K e y > < / a : K e y > < a : V a l u e   i : t y p e = " M e a s u r e G r i d V i e w S t a t e I D i a g r a m T a g A d d i t i o n a l I n f o " / > < / a : K e y V a l u e O f D i a g r a m O b j e c t K e y a n y T y p e z b w N T n L X > < a : K e y V a l u e O f D i a g r a m O b j e c t K e y a n y T y p e z b w N T n L X > < a : K e y > < K e y > M e a s u r e s \ S u m   o f   B e d s   o c c   o v e r   7   d a y s < / K e y > < / a : K e y > < a : V a l u e   i : t y p e = " M e a s u r e G r i d N o d e V i e w S t a t e " > < C o l u m n > 3 6 < / C o l u m n > < L a y e d O u t > t r u e < / L a y e d O u t > < W a s U I I n v i s i b l e > t r u e < / W a s U I I n v i s i b l e > < / a : V a l u e > < / a : K e y V a l u e O f D i a g r a m O b j e c t K e y a n y T y p e z b w N T n L X > < a : K e y V a l u e O f D i a g r a m O b j e c t K e y a n y T y p e z b w N T n L X > < a : K e y > < K e y > M e a s u r e s \ S u m   o f   B e d s   o c c   o v e r   7   d a y s \ T a g I n f o \ F o r m u l a < / K e y > < / a : K e y > < a : V a l u e   i : t y p e = " M e a s u r e G r i d V i e w S t a t e I D i a g r a m T a g A d d i t i o n a l I n f o " / > < / a : K e y V a l u e O f D i a g r a m O b j e c t K e y a n y T y p e z b w N T n L X > < a : K e y V a l u e O f D i a g r a m O b j e c t K e y a n y T y p e z b w N T n L X > < a : K e y > < K e y > M e a s u r e s \ S u m   o f   B e d s   o c c   o v e r   7   d a y s \ T a g I n f o \ V a l u e < / K e y > < / a : K e y > < a : V a l u e   i : t y p e = " M e a s u r e G r i d V i e w S t a t e I D i a g r a m T a g A d d i t i o n a l I n f o " / > < / a : K e y V a l u e O f D i a g r a m O b j e c t K e y a n y T y p e z b w N T n L X > < a : K e y V a l u e O f D i a g r a m O b j e c t K e y a n y T y p e z b w N T n L X > < a : K e y > < K e y > M e a s u r e s \ S u m   o f   B e d s   o c c   o v e r   2 1   d a y s < / K e y > < / a : K e y > < a : V a l u e   i : t y p e = " M e a s u r e G r i d N o d e V i e w S t a t e " > < C o l u m n > 3 7 < / C o l u m n > < L a y e d O u t > t r u e < / L a y e d O u t > < W a s U I I n v i s i b l e > t r u e < / W a s U I I n v i s i b l e > < / a : V a l u e > < / a : K e y V a l u e O f D i a g r a m O b j e c t K e y a n y T y p e z b w N T n L X > < a : K e y V a l u e O f D i a g r a m O b j e c t K e y a n y T y p e z b w N T n L X > < a : K e y > < K e y > M e a s u r e s \ S u m   o f   B e d s   o c c   o v e r   2 1   d a y s \ T a g I n f o \ F o r m u l a < / K e y > < / a : K e y > < a : V a l u e   i : t y p e = " M e a s u r e G r i d V i e w S t a t e I D i a g r a m T a g A d d i t i o n a l I n f o " / > < / a : K e y V a l u e O f D i a g r a m O b j e c t K e y a n y T y p e z b w N T n L X > < a : K e y V a l u e O f D i a g r a m O b j e c t K e y a n y T y p e z b w N T n L X > < a : K e y > < K e y > M e a s u r e s \ S u m   o f   B e d s   o c c   o v e r   2 1   d a y s \ T a g I n f o \ V a l u e < / K e y > < / a : K e y > < a : V a l u e   i : t y p e = " M e a s u r e G r i d V i e w S t a t e I D i a g r a m T a g A d d i t i o n a l I n f o " / > < / a : K e y V a l u e O f D i a g r a m O b j e c t K e y a n y T y p e z b w N T n L X > < a : K e y V a l u e O f D i a g r a m O b j e c t K e y a n y T y p e z b w N T n L X > < a : K e y > < K e y > M e a s u r e s \ A v e r a g e   o f   B e d s   o c c   o v e r   2 1   d a y s < / K e y > < / a : K e y > < a : V a l u e   i : t y p e = " M e a s u r e G r i d N o d e V i e w S t a t e " > < C o l u m n > 3 7 < / C o l u m n > < L a y e d O u t > t r u e < / L a y e d O u t > < R o w > 1 < / R o w > < W a s U I I n v i s i b l e > t r u e < / W a s U I I n v i s i b l e > < / a : V a l u e > < / a : K e y V a l u e O f D i a g r a m O b j e c t K e y a n y T y p e z b w N T n L X > < a : K e y V a l u e O f D i a g r a m O b j e c t K e y a n y T y p e z b w N T n L X > < a : K e y > < K e y > M e a s u r e s \ A v e r a g e   o f   B e d s   o c c   o v e r   2 1   d a y s \ T a g I n f o \ F o r m u l a < / K e y > < / a : K e y > < a : V a l u e   i : t y p e = " M e a s u r e G r i d V i e w S t a t e I D i a g r a m T a g A d d i t i o n a l I n f o " / > < / a : K e y V a l u e O f D i a g r a m O b j e c t K e y a n y T y p e z b w N T n L X > < a : K e y V a l u e O f D i a g r a m O b j e c t K e y a n y T y p e z b w N T n L X > < a : K e y > < K e y > M e a s u r e s \ A v e r a g e   o f   B e d s   o c c   o v e r   2 1   d a y s \ T a g I n f o \ V a l u e < / K e y > < / a : K e y > < a : V a l u e   i : t y p e = " M e a s u r e G r i d V i e w S t a t e I D i a g r a m T a g A d d i t i o n a l I n f o " / > < / a : K e y V a l u e O f D i a g r a m O b j e c t K e y a n y T y p e z b w N T n L X > < a : K e y V a l u e O f D i a g r a m O b j e c t K e y a n y T y p e z b w N T n L X > < a : K e y > < K e y > M e a s u r e s \ S u m   o f   B e d s   c l o s e d   n o r o v i r u s < / K e y > < / a : K e y > < a : V a l u e   i : t y p e = " M e a s u r e G r i d N o d e V i e w S t a t e " > < C o l u m n > 2 4 < / C o l u m n > < L a y e d O u t > t r u e < / L a y e d O u t > < W a s U I I n v i s i b l e > t r u e < / W a s U I I n v i s i b l e > < / a : V a l u e > < / a : K e y V a l u e O f D i a g r a m O b j e c t K e y a n y T y p e z b w N T n L X > < a : K e y V a l u e O f D i a g r a m O b j e c t K e y a n y T y p e z b w N T n L X > < a : K e y > < K e y > M e a s u r e s \ S u m   o f   B e d s   c l o s e d   n o r o v i r u s \ T a g I n f o \ F o r m u l a < / K e y > < / a : K e y > < a : V a l u e   i : t y p e = " M e a s u r e G r i d V i e w S t a t e I D i a g r a m T a g A d d i t i o n a l I n f o " / > < / a : K e y V a l u e O f D i a g r a m O b j e c t K e y a n y T y p e z b w N T n L X > < a : K e y V a l u e O f D i a g r a m O b j e c t K e y a n y T y p e z b w N T n L X > < a : K e y > < K e y > M e a s u r e s \ S u m   o f   B e d s   c l o s e d   n o r o v i r u s \ T a g I n f o \ V a l u e < / K e y > < / a : K e y > < a : V a l u e   i : t y p e = " M e a s u r e G r i d V i e w S t a t e I D i a g r a m T a g A d d i t i o n a l I n f o " / > < / a : K e y V a l u e O f D i a g r a m O b j e c t K e y a n y T y p e z b w N T n L X > < a : K e y V a l u e O f D i a g r a m O b j e c t K e y a n y T y p e z b w N T n L X > < a : K e y > < K e y > M e a s u r e s \ A v e r a g e   o f   B e d s   c l o s e d   n o r o v i r u s < / K e y > < / a : K e y > < a : V a l u e   i : t y p e = " M e a s u r e G r i d N o d e V i e w S t a t e " > < C o l u m n > 2 4 < / C o l u m n > < L a y e d O u t > t r u e < / L a y e d O u t > < R o w > 1 < / R o w > < W a s U I I n v i s i b l e > t r u e < / W a s U I I n v i s i b l e > < / a : V a l u e > < / a : K e y V a l u e O f D i a g r a m O b j e c t K e y a n y T y p e z b w N T n L X > < a : K e y V a l u e O f D i a g r a m O b j e c t K e y a n y T y p e z b w N T n L X > < a : K e y > < K e y > M e a s u r e s \ A v e r a g e   o f   B e d s   c l o s e d   n o r o v i r u s \ T a g I n f o \ F o r m u l a < / K e y > < / a : K e y > < a : V a l u e   i : t y p e = " M e a s u r e G r i d V i e w S t a t e I D i a g r a m T a g A d d i t i o n a l I n f o " / > < / a : K e y V a l u e O f D i a g r a m O b j e c t K e y a n y T y p e z b w N T n L X > < a : K e y V a l u e O f D i a g r a m O b j e c t K e y a n y T y p e z b w N T n L X > < a : K e y > < K e y > M e a s u r e s \ A v e r a g e   o f   B e d s   c l o s e d   n o r o v i r u s \ T a g I n f o \ V a l u e < / K e y > < / a : K e y > < a : V a l u e   i : t y p e = " M e a s u r e G r i d V i e w S t a t e I D i a g r a m T a g A d d i t i o n a l I n f o " / > < / a : K e y V a l u e O f D i a g r a m O b j e c t K e y a n y T y p e z b w N T n L X > < a : K e y V a l u e O f D i a g r a m O b j e c t K e y a n y T y p e z b w N T n L X > < a : K e y > < K e y > M e a s u r e s \ S u m   o f   B e d s   c l o s e d   n o r o v i u s   u n o c c < / K e y > < / a : K e y > < a : V a l u e   i : t y p e = " M e a s u r e G r i d N o d e V i e w S t a t e " > < C o l u m n > 2 5 < / C o l u m n > < L a y e d O u t > t r u e < / L a y e d O u t > < W a s U I I n v i s i b l e > t r u e < / W a s U I I n v i s i b l e > < / a : V a l u e > < / a : K e y V a l u e O f D i a g r a m O b j e c t K e y a n y T y p e z b w N T n L X > < a : K e y V a l u e O f D i a g r a m O b j e c t K e y a n y T y p e z b w N T n L X > < a : K e y > < K e y > M e a s u r e s \ S u m   o f   B e d s   c l o s e d   n o r o v i u s   u n o c c \ T a g I n f o \ F o r m u l a < / K e y > < / a : K e y > < a : V a l u e   i : t y p e = " M e a s u r e G r i d V i e w S t a t e I D i a g r a m T a g A d d i t i o n a l I n f o " / > < / a : K e y V a l u e O f D i a g r a m O b j e c t K e y a n y T y p e z b w N T n L X > < a : K e y V a l u e O f D i a g r a m O b j e c t K e y a n y T y p e z b w N T n L X > < a : K e y > < K e y > M e a s u r e s \ S u m   o f   B e d s   c l o s e d   n o r o v i u s   u n o c c \ T a g I n f o \ V a l u e < / K e y > < / a : K e y > < a : V a l u e   i : t y p e = " M e a s u r e G r i d V i e w S t a t e I D i a g r a m T a g A d d i t i o n a l I n f o " / > < / a : K e y V a l u e O f D i a g r a m O b j e c t K e y a n y T y p e z b w N T n L X > < a : K e y V a l u e O f D i a g r a m O b j e c t K e y a n y T y p e z b w N T n L X > < a : K e y > < K e y > M e a s u r e s \ S u m   o f   A m b   a r r i v a l s < / K e y > < / a : K e y > < a : V a l u e   i : t y p e = " M e a s u r e G r i d N o d e V i e w S t a t e " > < C o l u m n > 3 8 < / C o l u m n > < L a y e d O u t > t r u e < / L a y e d O u t > < W a s U I I n v i s i b l e > t r u e < / W a s U I I n v i s i b l e > < / a : V a l u e > < / a : K e y V a l u e O f D i a g r a m O b j e c t K e y a n y T y p e z b w N T n L X > < a : K e y V a l u e O f D i a g r a m O b j e c t K e y a n y T y p e z b w N T n L X > < a : K e y > < K e y > M e a s u r e s \ S u m   o f   A m b   a r r i v a l s \ T a g I n f o \ F o r m u l a < / K e y > < / a : K e y > < a : V a l u e   i : t y p e = " M e a s u r e G r i d V i e w S t a t e I D i a g r a m T a g A d d i t i o n a l I n f o " / > < / a : K e y V a l u e O f D i a g r a m O b j e c t K e y a n y T y p e z b w N T n L X > < a : K e y V a l u e O f D i a g r a m O b j e c t K e y a n y T y p e z b w N T n L X > < a : K e y > < K e y > M e a s u r e s \ S u m   o f   A m b   a r r i v a l s \ T a g I n f o \ V a l u e < / K e y > < / a : K e y > < a : V a l u e   i : t y p e = " M e a s u r e G r i d V i e w S t a t e I D i a g r a m T a g A d d i t i o n a l I n f o " / > < / a : K e y V a l u e O f D i a g r a m O b j e c t K e y a n y T y p e z b w N T n L X > < a : K e y V a l u e O f D i a g r a m O b j e c t K e y a n y T y p e z b w N T n L X > < a : K e y > < K e y > M e a s u r e s \ S u m   o f   A m b   d e l a y s   3 0 - 6 0   m i n s < / K e y > < / a : K e y > < a : V a l u e   i : t y p e = " M e a s u r e G r i d N o d e V i e w S t a t e " > < C o l u m n > 3 9 < / C o l u m n > < L a y e d O u t > t r u e < / L a y e d O u t > < W a s U I I n v i s i b l e > t r u e < / W a s U I I n v i s i b l e > < / a : V a l u e > < / a : K e y V a l u e O f D i a g r a m O b j e c t K e y a n y T y p e z b w N T n L X > < a : K e y V a l u e O f D i a g r a m O b j e c t K e y a n y T y p e z b w N T n L X > < a : K e y > < K e y > M e a s u r e s \ S u m   o f   A m b   d e l a y s   3 0 - 6 0   m i n s \ T a g I n f o \ F o r m u l a < / K e y > < / a : K e y > < a : V a l u e   i : t y p e = " M e a s u r e G r i d V i e w S t a t e I D i a g r a m T a g A d d i t i o n a l I n f o " / > < / a : K e y V a l u e O f D i a g r a m O b j e c t K e y a n y T y p e z b w N T n L X > < a : K e y V a l u e O f D i a g r a m O b j e c t K e y a n y T y p e z b w N T n L X > < a : K e y > < K e y > M e a s u r e s \ S u m   o f   A m b   d e l a y s   3 0 - 6 0   m i n s \ T a g I n f o \ V a l u e < / K e y > < / a : K e y > < a : V a l u e   i : t y p e = " M e a s u r e G r i d V i e w S t a t e I D i a g r a m T a g A d d i t i o n a l I n f o " / > < / a : K e y V a l u e O f D i a g r a m O b j e c t K e y a n y T y p e z b w N T n L X > < a : K e y V a l u e O f D i a g r a m O b j e c t K e y a n y T y p e z b w N T n L X > < a : K e y > < K e y > M e a s u r e s \ S u m   o f   A m b   d e l a y s   o v e r   6 0   m i n s < / K e y > < / a : K e y > < a : V a l u e   i : t y p e = " M e a s u r e G r i d N o d e V i e w S t a t e " > < C o l u m n > 4 0 < / C o l u m n > < L a y e d O u t > t r u e < / L a y e d O u t > < W a s U I I n v i s i b l e > t r u e < / W a s U I I n v i s i b l e > < / a : V a l u e > < / a : K e y V a l u e O f D i a g r a m O b j e c t K e y a n y T y p e z b w N T n L X > < a : K e y V a l u e O f D i a g r a m O b j e c t K e y a n y T y p e z b w N T n L X > < a : K e y > < K e y > M e a s u r e s \ S u m   o f   A m b   d e l a y s   o v e r   6 0   m i n s \ T a g I n f o \ F o r m u l a < / K e y > < / a : K e y > < a : V a l u e   i : t y p e = " M e a s u r e G r i d V i e w S t a t e I D i a g r a m T a g A d d i t i o n a l I n f o " / > < / a : K e y V a l u e O f D i a g r a m O b j e c t K e y a n y T y p e z b w N T n L X > < a : K e y V a l u e O f D i a g r a m O b j e c t K e y a n y T y p e z b w N T n L X > < a : K e y > < K e y > M e a s u r e s \ S u m   o f   A m b   d e l a y s   o v e r   6 0   m i n s \ T a g I n f o \ V a l u e < / K e y > < / a : K e y > < a : V a l u e   i : t y p e = " M e a s u r e G r i d V i e w S t a t e I D i a g r a m T a g A d d i t i o n a l I n f o " / > < / a : K e y V a l u e O f D i a g r a m O b j e c t K e y a n y T y p e z b w N T n L X > < a : K e y V a l u e O f D i a g r a m O b j e c t K e y a n y T y p e z b w N T n L X > < a : K e y > < K e y > M e a s u r e s \ S u m   o f   A d u l t   C C   b e d s   a v a i l < / K e y > < / a : K e y > < a : V a l u e   i : t y p e = " M e a s u r e G r i d N o d e V i e w S t a t e " > < C o l u m n > 2 6 < / C o l u m n > < L a y e d O u t > t r u e < / L a y e d O u t > < W a s U I I n v i s i b l e > t r u e < / W a s U I I n v i s i b l e > < / a : V a l u e > < / a : K e y V a l u e O f D i a g r a m O b j e c t K e y a n y T y p e z b w N T n L X > < a : K e y V a l u e O f D i a g r a m O b j e c t K e y a n y T y p e z b w N T n L X > < a : K e y > < K e y > M e a s u r e s \ S u m   o f   A d u l t   C C   b e d s   a v a i l \ T a g I n f o \ F o r m u l a < / K e y > < / a : K e y > < a : V a l u e   i : t y p e = " M e a s u r e G r i d V i e w S t a t e I D i a g r a m T a g A d d i t i o n a l I n f o " / > < / a : K e y V a l u e O f D i a g r a m O b j e c t K e y a n y T y p e z b w N T n L X > < a : K e y V a l u e O f D i a g r a m O b j e c t K e y a n y T y p e z b w N T n L X > < a : K e y > < K e y > M e a s u r e s \ S u m   o f   A d u l t   C C   b e d s   a v a i l \ T a g I n f o \ V a l u e < / K e y > < / a : K e y > < a : V a l u e   i : t y p e = " M e a s u r e G r i d V i e w S t a t e I D i a g r a m T a g A d d i t i o n a l I n f o " / > < / a : K e y V a l u e O f D i a g r a m O b j e c t K e y a n y T y p e z b w N T n L X > < a : K e y V a l u e O f D i a g r a m O b j e c t K e y a n y T y p e z b w N T n L X > < a : K e y > < K e y > M e a s u r e s \ S u m   o f   A d u l t   C C   b e d s   o c c < / K e y > < / a : K e y > < a : V a l u e   i : t y p e = " M e a s u r e G r i d N o d e V i e w S t a t e " > < C o l u m n > 2 7 < / C o l u m n > < L a y e d O u t > t r u e < / L a y e d O u t > < W a s U I I n v i s i b l e > t r u e < / W a s U I I n v i s i b l e > < / a : V a l u e > < / a : K e y V a l u e O f D i a g r a m O b j e c t K e y a n y T y p e z b w N T n L X > < a : K e y V a l u e O f D i a g r a m O b j e c t K e y a n y T y p e z b w N T n L X > < a : K e y > < K e y > M e a s u r e s \ S u m   o f   A d u l t   C C   b e d s   o c c \ T a g I n f o \ F o r m u l a < / K e y > < / a : K e y > < a : V a l u e   i : t y p e = " M e a s u r e G r i d V i e w S t a t e I D i a g r a m T a g A d d i t i o n a l I n f o " / > < / a : K e y V a l u e O f D i a g r a m O b j e c t K e y a n y T y p e z b w N T n L X > < a : K e y V a l u e O f D i a g r a m O b j e c t K e y a n y T y p e z b w N T n L X > < a : K e y > < K e y > M e a s u r e s \ S u m   o f   A d u l t   C C   b e d s   o c c \ T a g I n f o \ V a l u e < / K e y > < / a : K e y > < a : V a l u e   i : t y p e = " M e a s u r e G r i d V i e w S t a t e I D i a g r a m T a g A d d i t i o n a l I n f o " / > < / a : K e y V a l u e O f D i a g r a m O b j e c t K e y a n y T y p e z b w N T n L X > < a : K e y V a l u e O f D i a g r a m O b j e c t K e y a n y T y p e z b w N T n L X > < a : K e y > < K e y > M e a s u r e s \ S u m   o f   P a e d   I n t   C a r e   A v a i l < / K e y > < / a : K e y > < a : V a l u e   i : t y p e = " M e a s u r e G r i d N o d e V i e w S t a t e " > < C o l u m n > 2 8 < / C o l u m n > < L a y e d O u t > t r u e < / L a y e d O u t > < W a s U I I n v i s i b l e > t r u e < / W a s U I I n v i s i b l e > < / a : V a l u e > < / a : K e y V a l u e O f D i a g r a m O b j e c t K e y a n y T y p e z b w N T n L X > < a : K e y V a l u e O f D i a g r a m O b j e c t K e y a n y T y p e z b w N T n L X > < a : K e y > < K e y > M e a s u r e s \ S u m   o f   P a e d   I n t   C a r e   A v a i l \ T a g I n f o \ F o r m u l a < / K e y > < / a : K e y > < a : V a l u e   i : t y p e = " M e a s u r e G r i d V i e w S t a t e I D i a g r a m T a g A d d i t i o n a l I n f o " / > < / a : K e y V a l u e O f D i a g r a m O b j e c t K e y a n y T y p e z b w N T n L X > < a : K e y V a l u e O f D i a g r a m O b j e c t K e y a n y T y p e z b w N T n L X > < a : K e y > < K e y > M e a s u r e s \ S u m   o f   P a e d   I n t   C a r e   A v a i l \ T a g I n f o \ V a l u e < / K e y > < / a : K e y > < a : V a l u e   i : t y p e = " M e a s u r e G r i d V i e w S t a t e I D i a g r a m T a g A d d i t i o n a l I n f o " / > < / a : K e y V a l u e O f D i a g r a m O b j e c t K e y a n y T y p e z b w N T n L X > < a : K e y V a l u e O f D i a g r a m O b j e c t K e y a n y T y p e z b w N T n L X > < a : K e y > < K e y > M e a s u r e s \ S u m   o f   P a e d   I n t   C a r e   O c c < / K e y > < / a : K e y > < a : V a l u e   i : t y p e = " M e a s u r e G r i d N o d e V i e w S t a t e " > < C o l u m n > 2 9 < / C o l u m n > < L a y e d O u t > t r u e < / L a y e d O u t > < W a s U I I n v i s i b l e > t r u e < / W a s U I I n v i s i b l e > < / a : V a l u e > < / a : K e y V a l u e O f D i a g r a m O b j e c t K e y a n y T y p e z b w N T n L X > < a : K e y V a l u e O f D i a g r a m O b j e c t K e y a n y T y p e z b w N T n L X > < a : K e y > < K e y > M e a s u r e s \ S u m   o f   P a e d   I n t   C a r e   O c c \ T a g I n f o \ F o r m u l a < / K e y > < / a : K e y > < a : V a l u e   i : t y p e = " M e a s u r e G r i d V i e w S t a t e I D i a g r a m T a g A d d i t i o n a l I n f o " / > < / a : K e y V a l u e O f D i a g r a m O b j e c t K e y a n y T y p e z b w N T n L X > < a : K e y V a l u e O f D i a g r a m O b j e c t K e y a n y T y p e z b w N T n L X > < a : K e y > < K e y > M e a s u r e s \ S u m   o f   P a e d   I n t   C a r e   O c c \ T a g I n f o \ V a l u e < / K e y > < / a : K e y > < a : V a l u e   i : t y p e = " M e a s u r e G r i d V i e w S t a t e I D i a g r a m T a g A d d i t i o n a l I n f o " / > < / a : K e y V a l u e O f D i a g r a m O b j e c t K e y a n y T y p e z b w N T n L X > < a : K e y V a l u e O f D i a g r a m O b j e c t K e y a n y T y p e z b w N T n L X > < a : K e y > < K e y > M e a s u r e s \ S u m   o f   N e o   I n t   C a r e   A v a i l < / K e y > < / a : K e y > < a : V a l u e   i : t y p e = " M e a s u r e G r i d N o d e V i e w S t a t e " > < C o l u m n > 3 0 < / C o l u m n > < L a y e d O u t > t r u e < / L a y e d O u t > < W a s U I I n v i s i b l e > t r u e < / W a s U I I n v i s i b l e > < / a : V a l u e > < / a : K e y V a l u e O f D i a g r a m O b j e c t K e y a n y T y p e z b w N T n L X > < a : K e y V a l u e O f D i a g r a m O b j e c t K e y a n y T y p e z b w N T n L X > < a : K e y > < K e y > M e a s u r e s \ S u m   o f   N e o   I n t   C a r e   A v a i l \ T a g I n f o \ F o r m u l a < / K e y > < / a : K e y > < a : V a l u e   i : t y p e = " M e a s u r e G r i d V i e w S t a t e I D i a g r a m T a g A d d i t i o n a l I n f o " / > < / a : K e y V a l u e O f D i a g r a m O b j e c t K e y a n y T y p e z b w N T n L X > < a : K e y V a l u e O f D i a g r a m O b j e c t K e y a n y T y p e z b w N T n L X > < a : K e y > < K e y > M e a s u r e s \ S u m   o f   N e o   I n t   C a r e   A v a i l \ T a g I n f o \ V a l u e < / K e y > < / a : K e y > < a : V a l u e   i : t y p e = " M e a s u r e G r i d V i e w S t a t e I D i a g r a m T a g A d d i t i o n a l I n f o " / > < / a : K e y V a l u e O f D i a g r a m O b j e c t K e y a n y T y p e z b w N T n L X > < a : K e y V a l u e O f D i a g r a m O b j e c t K e y a n y T y p e z b w N T n L X > < a : K e y > < K e y > M e a s u r e s \ S u m   o f   N e o   I n t   C a r e   o c c < / K e y > < / a : K e y > < a : V a l u e   i : t y p e = " M e a s u r e G r i d N o d e V i e w S t a t e " > < C o l u m n > 3 1 < / C o l u m n > < L a y e d O u t > t r u e < / L a y e d O u t > < W a s U I I n v i s i b l e > t r u e < / W a s U I I n v i s i b l e > < / a : V a l u e > < / a : K e y V a l u e O f D i a g r a m O b j e c t K e y a n y T y p e z b w N T n L X > < a : K e y V a l u e O f D i a g r a m O b j e c t K e y a n y T y p e z b w N T n L X > < a : K e y > < K e y > M e a s u r e s \ S u m   o f   N e o   I n t   C a r e   o c c \ T a g I n f o \ F o r m u l a < / K e y > < / a : K e y > < a : V a l u e   i : t y p e = " M e a s u r e G r i d V i e w S t a t e I D i a g r a m T a g A d d i t i o n a l I n f o " / > < / a : K e y V a l u e O f D i a g r a m O b j e c t K e y a n y T y p e z b w N T n L X > < a : K e y V a l u e O f D i a g r a m O b j e c t K e y a n y T y p e z b w N T n L X > < a : K e y > < K e y > M e a s u r e s \ S u m   o f   N e o   I n t   C a r e   o c c \ T a g I n f o \ V a l u e < / K e y > < / a : K e y > < a : V a l u e   i : t y p e = " M e a s u r e G r i d V i e w S t a t e I D i a g r a m T a g A d d i t i o n a l I n f o " / > < / a : K e y V a l u e O f D i a g r a m O b j e c t K e y a n y T y p e z b w N T n L X > < a : K e y V a l u e O f D i a g r a m O b j e c t K e y a n y T y p e z b w N T n L X > < a : K e y > < K e y > M e a s u r e s \ A v e r a g e   o f   N e o   I n t   C a r e   A v a i l < / K e y > < / a : K e y > < a : V a l u e   i : t y p e = " M e a s u r e G r i d N o d e V i e w S t a t e " > < C o l u m n > 3 0 < / C o l u m n > < L a y e d O u t > t r u e < / L a y e d O u t > < R o w > 1 < / R o w > < W a s U I I n v i s i b l e > t r u e < / W a s U I I n v i s i b l e > < / a : V a l u e > < / a : K e y V a l u e O f D i a g r a m O b j e c t K e y a n y T y p e z b w N T n L X > < a : K e y V a l u e O f D i a g r a m O b j e c t K e y a n y T y p e z b w N T n L X > < a : K e y > < K e y > M e a s u r e s \ A v e r a g e   o f   N e o   I n t   C a r e   A v a i l \ T a g I n f o \ F o r m u l a < / K e y > < / a : K e y > < a : V a l u e   i : t y p e = " M e a s u r e G r i d V i e w S t a t e I D i a g r a m T a g A d d i t i o n a l I n f o " / > < / a : K e y V a l u e O f D i a g r a m O b j e c t K e y a n y T y p e z b w N T n L X > < a : K e y V a l u e O f D i a g r a m O b j e c t K e y a n y T y p e z b w N T n L X > < a : K e y > < K e y > M e a s u r e s \ A v e r a g e   o f   N e o   I n t   C a r e   A v a i l \ T a g I n f o \ V a l u e < / K e y > < / a : K e y > < a : V a l u e   i : t y p e = " M e a s u r e G r i d V i e w S t a t e I D i a g r a m T a g A d d i t i o n a l I n f o " / > < / a : K e y V a l u e O f D i a g r a m O b j e c t K e y a n y T y p e z b w N T n L X > < a : K e y V a l u e O f D i a g r a m O b j e c t K e y a n y T y p e z b w N T n L X > < a : K e y > < K e y > M e a s u r e s \ A v e r a g e   o f   N e o   I n t   C a r e   o c c < / K e y > < / a : K e y > < a : V a l u e   i : t y p e = " M e a s u r e G r i d N o d e V i e w S t a t e " > < C o l u m n > 3 1 < / C o l u m n > < L a y e d O u t > t r u e < / L a y e d O u t > < R o w > 1 < / R o w > < W a s U I I n v i s i b l e > t r u e < / W a s U I I n v i s i b l e > < / a : V a l u e > < / a : K e y V a l u e O f D i a g r a m O b j e c t K e y a n y T y p e z b w N T n L X > < a : K e y V a l u e O f D i a g r a m O b j e c t K e y a n y T y p e z b w N T n L X > < a : K e y > < K e y > M e a s u r e s \ A v e r a g e   o f   N e o   I n t   C a r e   o c c \ T a g I n f o \ F o r m u l a < / K e y > < / a : K e y > < a : V a l u e   i : t y p e = " M e a s u r e G r i d V i e w S t a t e I D i a g r a m T a g A d d i t i o n a l I n f o " / > < / a : K e y V a l u e O f D i a g r a m O b j e c t K e y a n y T y p e z b w N T n L X > < a : K e y V a l u e O f D i a g r a m O b j e c t K e y a n y T y p e z b w N T n L X > < a : K e y > < K e y > M e a s u r e s \ A v e r a g e   o f   N e o   I n t   C a r e   o c c \ T a g I n f o \ V a l u e < / K e y > < / a : K e y > < a : V a l u e   i : t y p e = " M e a s u r e G r i d V i e w S t a t e I D i a g r a m T a g A d d i t i o n a l I n f o " / > < / a : K e y V a l u e O f D i a g r a m O b j e c t K e y a n y T y p e z b w N T n L X > < a : K e y V a l u e O f D i a g r a m O b j e c t K e y a n y T y p e z b w N T n L X > < a : K e y > < K e y > M e a s u r e s \ S u m   o f   G A   b e d   o c c u p a n c y < / K e y > < / a : K e y > < a : V a l u e   i : t y p e = " M e a s u r e G r i d N o d e V i e w S t a t e " > < C o l u m n > 2 3 < / C o l u m n > < L a y e d O u t > t r u e < / L a y e d O u t > < W a s U I I n v i s i b l e > t r u e < / W a s U I I n v i s i b l e > < / a : V a l u e > < / a : K e y V a l u e O f D i a g r a m O b j e c t K e y a n y T y p e z b w N T n L X > < a : K e y V a l u e O f D i a g r a m O b j e c t K e y a n y T y p e z b w N T n L X > < a : K e y > < K e y > M e a s u r e s \ S u m   o f   G A   b e d   o c c u p a n c y \ T a g I n f o \ F o r m u l a < / K e y > < / a : K e y > < a : V a l u e   i : t y p e = " M e a s u r e G r i d V i e w S t a t e I D i a g r a m T a g A d d i t i o n a l I n f o " / > < / a : K e y V a l u e O f D i a g r a m O b j e c t K e y a n y T y p e z b w N T n L X > < a : K e y V a l u e O f D i a g r a m O b j e c t K e y a n y T y p e z b w N T n L X > < a : K e y > < K e y > M e a s u r e s \ S u m   o f   G A   b e d   o c c u p a n c y \ T a g I n f o \ V a l u e < / K e y > < / a : K e y > < a : V a l u e   i : t y p e = " M e a s u r e G r i d V i e w S t a t e I D i a g r a m T a g A d d i t i o n a l I n f o " / > < / a : K e y V a l u e O f D i a g r a m O b j e c t K e y a n y T y p e z b w N T n L X > < a : K e y V a l u e O f D i a g r a m O b j e c t K e y a n y T y p e z b w N T n L X > < a : K e y > < K e y > M e a s u r e s \ A v e r a g e   o f   G A   b e d   o c c u p a n c y < / K e y > < / a : K e y > < a : V a l u e   i : t y p e = " M e a s u r e G r i d N o d e V i e w S t a t e " > < C o l u m n > 2 3 < / C o l u m n > < L a y e d O u t > t r u e < / L a y e d O u t > < R o w > 1 < / R o w > < W a s U I I n v i s i b l e > t r u e < / W a s U I I n v i s i b l e > < / a : V a l u e > < / a : K e y V a l u e O f D i a g r a m O b j e c t K e y a n y T y p e z b w N T n L X > < a : K e y V a l u e O f D i a g r a m O b j e c t K e y a n y T y p e z b w N T n L X > < a : K e y > < K e y > M e a s u r e s \ A v e r a g e   o f   G A   b e d   o c c u p a n c y \ T a g I n f o \ F o r m u l a < / K e y > < / a : K e y > < a : V a l u e   i : t y p e = " M e a s u r e G r i d V i e w S t a t e I D i a g r a m T a g A d d i t i o n a l I n f o " / > < / a : K e y V a l u e O f D i a g r a m O b j e c t K e y a n y T y p e z b w N T n L X > < a : K e y V a l u e O f D i a g r a m O b j e c t K e y a n y T y p e z b w N T n L X > < a : K e y > < K e y > M e a s u r e s \ A v e r a g e   o f   G A   b e d   o c c u p a n c y \ T a g I n f o \ V a l u e < / K e y > < / a : K e y > < a : V a l u e   i : t y p e = " M e a s u r e G r i d V i e w S t a t e I D i a g r a m T a g A d d i t i o n a l I n f o " / > < / a : K e y V a l u e O f D i a g r a m O b j e c t K e y a n y T y p e z b w N T n L X > < a : K e y V a l u e O f D i a g r a m O b j e c t K e y a n y T y p e z b w N T n L X > < a : K e y > < K e y > M e a s u r e s \ S u m   o f   G A   c o r e   b e d s   a v a i l < / K e y > < / a : K e y > < a : V a l u e   i : t y p e = " M e a s u r e G r i d N o d e V i e w S t a t e " > < C o l u m n > 1 9 < / C o l u m n > < L a y e d O u t > t r u e < / L a y e d O u t > < W a s U I I n v i s i b l e > t r u e < / W a s U I I n v i s i b l e > < / a : V a l u e > < / a : K e y V a l u e O f D i a g r a m O b j e c t K e y a n y T y p e z b w N T n L X > < a : K e y V a l u e O f D i a g r a m O b j e c t K e y a n y T y p e z b w N T n L X > < a : K e y > < K e y > M e a s u r e s \ S u m   o f   G A   c o r e   b e d s   a v a i l \ T a g I n f o \ F o r m u l a < / K e y > < / a : K e y > < a : V a l u e   i : t y p e = " M e a s u r e G r i d V i e w S t a t e I D i a g r a m T a g A d d i t i o n a l I n f o " / > < / a : K e y V a l u e O f D i a g r a m O b j e c t K e y a n y T y p e z b w N T n L X > < a : K e y V a l u e O f D i a g r a m O b j e c t K e y a n y T y p e z b w N T n L X > < a : K e y > < K e y > M e a s u r e s \ S u m   o f   G A   c o r e   b e d s   a v a i l \ T a g I n f o \ V a l u e < / K e y > < / a : K e y > < a : V a l u e   i : t y p e = " M e a s u r e G r i d V i e w S t a t e I D i a g r a m T a g A d d i t i o n a l I n f o " / > < / a : K e y V a l u e O f D i a g r a m O b j e c t K e y a n y T y p e z b w N T n L X > < a : K e y V a l u e O f D i a g r a m O b j e c t K e y a n y T y p e z b w N T n L X > < a : K e y > < K e y > M e a s u r e s \ S u m   o f   G A   e s c a l a t i o n   b e d s   a v a i l < / K e y > < / a : K e y > < a : V a l u e   i : t y p e = " M e a s u r e G r i d N o d e V i e w S t a t e " > < C o l u m n > 2 0 < / C o l u m n > < L a y e d O u t > t r u e < / L a y e d O u t > < W a s U I I n v i s i b l e > t r u e < / W a s U I I n v i s i b l e > < / a : V a l u e > < / a : K e y V a l u e O f D i a g r a m O b j e c t K e y a n y T y p e z b w N T n L X > < a : K e y V a l u e O f D i a g r a m O b j e c t K e y a n y T y p e z b w N T n L X > < a : K e y > < K e y > M e a s u r e s \ S u m   o f   G A   e s c a l a t i o n   b e d s   a v a i l \ T a g I n f o \ F o r m u l a < / K e y > < / a : K e y > < a : V a l u e   i : t y p e = " M e a s u r e G r i d V i e w S t a t e I D i a g r a m T a g A d d i t i o n a l I n f o " / > < / a : K e y V a l u e O f D i a g r a m O b j e c t K e y a n y T y p e z b w N T n L X > < a : K e y V a l u e O f D i a g r a m O b j e c t K e y a n y T y p e z b w N T n L X > < a : K e y > < K e y > M e a s u r e s \ S u m   o f   G A   e s c a l a t i o n   b e d s   a v a i l \ T a g I n f o \ V a l u e < / K e y > < / a : K e y > < a : V a l u e   i : t y p e = " M e a s u r e G r i d V i e w S t a t e I D i a g r a m T a g A d d i t i o n a l I n f o " / > < / a : K e y V a l u e O f D i a g r a m O b j e c t K e y a n y T y p e z b w N T n L X > < a : K e y V a l u e O f D i a g r a m O b j e c t K e y a n y T y p e z b w N T n L X > < a : K e y > < K e y > M e a s u r e s \ S u m   o f   B e d s   o c c   o v e r   1 4   d a y s   2 < / K e y > < / a : K e y > < a : V a l u e   i : t y p e = " M e a s u r e G r i d N o d e V i e w S t a t e " > < C o l u m n > 4 1 < / C o l u m n > < L a y e d O u t > t r u e < / L a y e d O u t > < W a s U I I n v i s i b l e > t r u e < / W a s U I I n v i s i b l e > < / a : V a l u e > < / a : K e y V a l u e O f D i a g r a m O b j e c t K e y a n y T y p e z b w N T n L X > < a : K e y V a l u e O f D i a g r a m O b j e c t K e y a n y T y p e z b w N T n L X > < a : K e y > < K e y > M e a s u r e s \ S u m   o f   B e d s   o c c   o v e r   1 4   d a y s   2 \ T a g I n f o \ F o r m u l a < / K e y > < / a : K e y > < a : V a l u e   i : t y p e = " M e a s u r e G r i d V i e w S t a t e I D i a g r a m T a g A d d i t i o n a l I n f o " / > < / a : K e y V a l u e O f D i a g r a m O b j e c t K e y a n y T y p e z b w N T n L X > < a : K e y V a l u e O f D i a g r a m O b j e c t K e y a n y T y p e z b w N T n L X > < a : K e y > < K e y > M e a s u r e s \ S u m   o f   B e d s   o c c   o v e r   1 4   d a y s   2 \ T a g I n f o \ V a l u e < / K e y > < / a : K e y > < a : V a l u e   i : t y p e = " M e a s u r e G r i d V i e w S t a t e I D i a g r a m T a g A d d i t i o n a l I n f o " / > < / a : K e y V a l u e O f D i a g r a m O b j e c t K e y a n y T y p e z b w N T n L X > < a : K e y V a l u e O f D i a g r a m O b j e c t K e y a n y T y p e z b w N T n L X > < a : K e y > < K e y > C o l u m n s \ I D < / K e y > < / a : K e y > < a : V a l u e   i : t y p e = " M e a s u r e G r i d N o d e V i e w S t a t e " > < L a y e d O u t > t r u e < / L a y e d O u t > < / a : V a l u e > < / a : K e y V a l u e O f D i a g r a m O b j e c t K e y a n y T y p e z b w N T n L X > < a : K e y V a l u e O f D i a g r a m O b j e c t K e y a n y T y p e z b w N T n L X > < a : K e y > < K e y > C o l u m n s \ c r i _ i d < / K e y > < / a : K e y > < a : V a l u e   i : t y p e = " M e a s u r e G r i d N o d e V i e w S t a t e " > < C o l u m n > 1 < / C o l u m n > < L a y e d O u t > t r u e < / L a y e d O u t > < / a : V a l u e > < / a : K e y V a l u e O f D i a g r a m O b j e c t K e y a n y T y p e z b w N T n L X > < a : K e y V a l u e O f D i a g r a m O b j e c t K e y a n y T y p e z b w N T n L X > < a : K e y > < K e y > C o l u m n s \ d r _ i d < / K e y > < / a : K e y > < a : V a l u e   i : t y p e = " M e a s u r e G r i d N o d e V i e w S t a t e " > < C o l u m n > 2 < / C o l u m n > < L a y e d O u t > t r u e < / L a y e d O u t > < / a : V a l u e > < / a : K e y V a l u e O f D i a g r a m O b j e c t K e y a n y T y p e z b w N T n L X > < a : K e y V a l u e O f D i a g r a m O b j e c t K e y a n y T y p e z b w N T n L X > < a : K e y > < K e y > C o l u m n s \ o r g _ i d < / K e y > < / a : K e y > < a : V a l u e   i : t y p e = " M e a s u r e G r i d N o d e V i e w S t a t e " > < C o l u m n > 3 < / C o l u m n > < L a y e d O u t > t r u e < / L a y e d O u t > < / a : V a l u e > < / a : K e y V a l u e O f D i a g r a m O b j e c t K e y a n y T y p e z b w N T n L X > < a : K e y V a l u e O f D i a g r a m O b j e c t K e y a n y T y p e z b w N T n L X > < a : K e y > < K e y > C o l u m n s \ c r i _ d a t a p e r i o d s t a r t < / K e y > < / a : K e y > < a : V a l u e   i : t y p e = " M e a s u r e G r i d N o d e V i e w S t a t e " > < C o l u m n > 4 < / C o l u m n > < L a y e d O u t > t r u e < / L a y e d O u t > < / a : V a l u e > < / a : K e y V a l u e O f D i a g r a m O b j e c t K e y a n y T y p e z b w N T n L X > < a : K e y V a l u e O f D i a g r a m O b j e c t K e y a n y T y p e z b w N T n L X > < a : K e y > < K e y > C o l u m n s \ C o d e < / K e y > < / a : K e y > < a : V a l u e   i : t y p e = " M e a s u r e G r i d N o d e V i e w S t a t e " > < C o l u m n > 5 < / C o l u m n > < L a y e d O u t > t r u e < / L a y e d O u t > < / a : V a l u e > < / a : K e y V a l u e O f D i a g r a m O b j e c t K e y a n y T y p e z b w N T n L X > < a : K e y V a l u e O f D i a g r a m O b j e c t K e y a n y T y p e z b w N T n L X > < a : K e y > < K e y > C o l u m n s \ N a m e < / K e y > < / a : K e y > < a : V a l u e   i : t y p e = " M e a s u r e G r i d N o d e V i e w S t a t e " > < C o l u m n > 6 < / C o l u m n > < L a y e d O u t > t r u e < / L a y e d O u t > < / a : V a l u e > < / a : K e y V a l u e O f D i a g r a m O b j e c t K e y a n y T y p e z b w N T n L X > < a : K e y V a l u e O f D i a g r a m O b j e c t K e y a n y T y p e z b w N T n L X > < a : K e y > < K e y > C o l u m n s \ D a t e < / K e y > < / a : K e y > < a : V a l u e   i : t y p e = " M e a s u r e G r i d N o d e V i e w S t a t e " > < C o l u m n > 7 < / C o l u m n > < L a y e d O u t > t r u e < / L a y e d O u t > < / a : V a l u e > < / a : K e y V a l u e O f D i a g r a m O b j e c t K e y a n y T y p e z b w N T n L X > < a : K e y V a l u e O f D i a g r a m O b j e c t K e y a n y T y p e z b w N T n L X > < a : K e y > < K e y > C o l u m n s \ W e e k < / K e y > < / a : K e y > < a : V a l u e   i : t y p e = " M e a s u r e G r i d N o d e V i e w S t a t e " > < C o l u m n > 8 < / C o l u m n > < L a y e d O u t > t r u e < / L a y e d O u t > < / a : V a l u e > < / a : K e y V a l u e O f D i a g r a m O b j e c t K e y a n y T y p e z b w N T n L X > < a : K e y V a l u e O f D i a g r a m O b j e c t K e y a n y T y p e z b w N T n L X > < a : K e y > < K e y > C o l u m n s \ D a y < / K e y > < / a : K e y > < a : V a l u e   i : t y p e = " M e a s u r e G r i d N o d e V i e w S t a t e " > < C o l u m n > 1 0 < / C o l u m n > < L a y e d O u t > t r u e < / L a y e d O u t > < / a : V a l u e > < / a : K e y V a l u e O f D i a g r a m O b j e c t K e y a n y T y p e z b w N T n L X > < a : K e y V a l u e O f D i a g r a m O b j e c t K e y a n y T y p e z b w N T n L X > < a : K e y > < K e y > C o l u m n s \ B a n k   h o l i d a y < / K e y > < / a : K e y > < a : V a l u e   i : t y p e = " M e a s u r e G r i d N o d e V i e w S t a t e " > < C o l u m n > 1 1 < / C o l u m n > < L a y e d O u t > t r u e < / L a y e d O u t > < / a : V a l u e > < / a : K e y V a l u e O f D i a g r a m O b j e c t K e y a n y T y p e z b w N T n L X > < a : K e y V a l u e O f D i a g r a m O b j e c t K e y a n y T y p e z b w N T n L X > < a : K e y > < K e y > C o l u m n s \ A E   c l o s u r e s < / K e y > < / a : K e y > < a : V a l u e   i : t y p e = " M e a s u r e G r i d N o d e V i e w S t a t e " > < C o l u m n > 1 2 < / C o l u m n > < L a y e d O u t > t r u e < / L a y e d O u t > < / a : V a l u e > < / a : K e y V a l u e O f D i a g r a m O b j e c t K e y a n y T y p e z b w N T n L X > < a : K e y V a l u e O f D i a g r a m O b j e c t K e y a n y T y p e z b w N T n L X > < a : K e y > < K e y > C o l u m n s \ A E   d i v e r t s < / K e y > < / a : K e y > < a : V a l u e   i : t y p e = " M e a s u r e G r i d N o d e V i e w S t a t e " > < C o l u m n > 1 3 < / C o l u m n > < L a y e d O u t > t r u e < / L a y e d O u t > < / a : V a l u e > < / a : K e y V a l u e O f D i a g r a m O b j e c t K e y a n y T y p e z b w N T n L X > < a : K e y V a l u e O f D i a g r a m O b j e c t K e y a n y T y p e z b w N T n L X > < a : K e y > < K e y > C o l u m n s \ A E   t y p e   1   a t t e n d a n c e s < / K e y > < / a : K e y > < a : V a l u e   i : t y p e = " M e a s u r e G r i d N o d e V i e w S t a t e " > < C o l u m n > 1 4 < / C o l u m n > < L a y e d O u t > t r u e < / L a y e d O u t > < / a : V a l u e > < / a : K e y V a l u e O f D i a g r a m O b j e c t K e y a n y T y p e z b w N T n L X > < a : K e y V a l u e O f D i a g r a m O b j e c t K e y a n y T y p e z b w N T n L X > < a : K e y > < K e y > C o l u m n s \ A E   t y p e   2   a t t e n d a n c e s < / K e y > < / a : K e y > < a : V a l u e   i : t y p e = " M e a s u r e G r i d N o d e V i e w S t a t e " > < C o l u m n > 1 5 < / C o l u m n > < L a y e d O u t > t r u e < / L a y e d O u t > < / a : V a l u e > < / a : K e y V a l u e O f D i a g r a m O b j e c t K e y a n y T y p e z b w N T n L X > < a : K e y V a l u e O f D i a g r a m O b j e c t K e y a n y T y p e z b w N T n L X > < a : K e y > < K e y > C o l u m n s \ A E   t y p e   3   a t t e n d a n c e s < / K e y > < / a : K e y > < a : V a l u e   i : t y p e = " M e a s u r e G r i d N o d e V i e w S t a t e " > < C o l u m n > 1 6 < / C o l u m n > < L a y e d O u t > t r u e < / L a y e d O u t > < / a : V a l u e > < / a : K e y V a l u e O f D i a g r a m O b j e c t K e y a n y T y p e z b w N T n L X > < a : K e y V a l u e O f D i a g r a m O b j e c t K e y a n y T y p e z b w N T n L X > < a : K e y > < K e y > C o l u m n s \ A E   t o t a l   a t t e n d a n c e s < / K e y > < / a : K e y > < a : V a l u e   i : t y p e = " M e a s u r e G r i d N o d e V i e w S t a t e " > < C o l u m n > 1 7 < / C o l u m n > < L a y e d O u t > t r u e < / L a y e d O u t > < / a : V a l u e > < / a : K e y V a l u e O f D i a g r a m O b j e c t K e y a n y T y p e z b w N T n L X > < a : K e y V a l u e O f D i a g r a m O b j e c t K e y a n y T y p e z b w N T n L X > < a : K e y > < K e y > C o l u m n s \ E m e r g e n c y   a d m i s s i o n s < / K e y > < / a : K e y > < a : V a l u e   i : t y p e = " M e a s u r e G r i d N o d e V i e w S t a t e " > < C o l u m n > 1 8 < / C o l u m n > < L a y e d O u t > t r u e < / L a y e d O u t > < / a : V a l u e > < / a : K e y V a l u e O f D i a g r a m O b j e c t K e y a n y T y p e z b w N T n L X > < a : K e y V a l u e O f D i a g r a m O b j e c t K e y a n y T y p e z b w N T n L X > < a : K e y > < K e y > C o l u m n s \ G A   c o r e   b e d s   a v a i l < / K e y > < / a : K e y > < a : V a l u e   i : t y p e = " M e a s u r e G r i d N o d e V i e w S t a t e " > < C o l u m n > 1 9 < / C o l u m n > < L a y e d O u t > t r u e < / L a y e d O u t > < / a : V a l u e > < / a : K e y V a l u e O f D i a g r a m O b j e c t K e y a n y T y p e z b w N T n L X > < a : K e y V a l u e O f D i a g r a m O b j e c t K e y a n y T y p e z b w N T n L X > < a : K e y > < K e y > C o l u m n s \ G A   e s c a l a t i o n   b e d s   a v a i l < / K e y > < / a : K e y > < a : V a l u e   i : t y p e = " M e a s u r e G r i d N o d e V i e w S t a t e " > < C o l u m n > 2 0 < / C o l u m n > < L a y e d O u t > t r u e < / L a y e d O u t > < / a : V a l u e > < / a : K e y V a l u e O f D i a g r a m O b j e c t K e y a n y T y p e z b w N T n L X > < a : K e y V a l u e O f D i a g r a m O b j e c t K e y a n y T y p e z b w N T n L X > < a : K e y > < K e y > C o l u m n s \ G A   t o t a l   b e d s   a v a i l < / K e y > < / a : K e y > < a : V a l u e   i : t y p e = " M e a s u r e G r i d N o d e V i e w S t a t e " > < C o l u m n > 2 1 < / C o l u m n > < L a y e d O u t > t r u e < / L a y e d O u t > < / a : V a l u e > < / a : K e y V a l u e O f D i a g r a m O b j e c t K e y a n y T y p e z b w N T n L X > < a : K e y V a l u e O f D i a g r a m O b j e c t K e y a n y T y p e z b w N T n L X > < a : K e y > < K e y > C o l u m n s \ G A   t o t a l   b e d s   o c c u p i e d < / K e y > < / a : K e y > < a : V a l u e   i : t y p e = " M e a s u r e G r i d N o d e V i e w S t a t e " > < C o l u m n > 2 2 < / C o l u m n > < L a y e d O u t > t r u e < / L a y e d O u t > < / a : V a l u e > < / a : K e y V a l u e O f D i a g r a m O b j e c t K e y a n y T y p e z b w N T n L X > < a : K e y V a l u e O f D i a g r a m O b j e c t K e y a n y T y p e z b w N T n L X > < a : K e y > < K e y > C o l u m n s \ B e d s   c l o s e d   n o r o v i r u s < / K e y > < / a : K e y > < a : V a l u e   i : t y p e = " M e a s u r e G r i d N o d e V i e w S t a t e " > < C o l u m n > 2 4 < / C o l u m n > < L a y e d O u t > t r u e < / L a y e d O u t > < / a : V a l u e > < / a : K e y V a l u e O f D i a g r a m O b j e c t K e y a n y T y p e z b w N T n L X > < a : K e y V a l u e O f D i a g r a m O b j e c t K e y a n y T y p e z b w N T n L X > < a : K e y > < K e y > C o l u m n s \ B e d s   c l o s e d   n o r o v i u s   u n o c c < / K e y > < / a : K e y > < a : V a l u e   i : t y p e = " M e a s u r e G r i d N o d e V i e w S t a t e " > < C o l u m n > 2 5 < / C o l u m n > < L a y e d O u t > t r u e < / L a y e d O u t > < / a : V a l u e > < / a : K e y V a l u e O f D i a g r a m O b j e c t K e y a n y T y p e z b w N T n L X > < a : K e y V a l u e O f D i a g r a m O b j e c t K e y a n y T y p e z b w N T n L X > < a : K e y > < K e y > C o l u m n s \ A d u l t   C C   b e d s   a v a i l < / K e y > < / a : K e y > < a : V a l u e   i : t y p e = " M e a s u r e G r i d N o d e V i e w S t a t e " > < C o l u m n > 2 6 < / C o l u m n > < L a y e d O u t > t r u e < / L a y e d O u t > < / a : V a l u e > < / a : K e y V a l u e O f D i a g r a m O b j e c t K e y a n y T y p e z b w N T n L X > < a : K e y V a l u e O f D i a g r a m O b j e c t K e y a n y T y p e z b w N T n L X > < a : K e y > < K e y > C o l u m n s \ A d u l t   C C   b e d s   o c c < / K e y > < / a : K e y > < a : V a l u e   i : t y p e = " M e a s u r e G r i d N o d e V i e w S t a t e " > < C o l u m n > 2 7 < / C o l u m n > < L a y e d O u t > t r u e < / L a y e d O u t > < / a : V a l u e > < / a : K e y V a l u e O f D i a g r a m O b j e c t K e y a n y T y p e z b w N T n L X > < a : K e y V a l u e O f D i a g r a m O b j e c t K e y a n y T y p e z b w N T n L X > < a : K e y > < K e y > C o l u m n s \ P a e d   I n t   C a r e   A v a i l < / K e y > < / a : K e y > < a : V a l u e   i : t y p e = " M e a s u r e G r i d N o d e V i e w S t a t e " > < C o l u m n > 2 8 < / C o l u m n > < L a y e d O u t > t r u e < / L a y e d O u t > < / a : V a l u e > < / a : K e y V a l u e O f D i a g r a m O b j e c t K e y a n y T y p e z b w N T n L X > < a : K e y V a l u e O f D i a g r a m O b j e c t K e y a n y T y p e z b w N T n L X > < a : K e y > < K e y > C o l u m n s \ P a e d   I n t   C a r e   O c c < / K e y > < / a : K e y > < a : V a l u e   i : t y p e = " M e a s u r e G r i d N o d e V i e w S t a t e " > < C o l u m n > 2 9 < / C o l u m n > < L a y e d O u t > t r u e < / L a y e d O u t > < / a : V a l u e > < / a : K e y V a l u e O f D i a g r a m O b j e c t K e y a n y T y p e z b w N T n L X > < a : K e y V a l u e O f D i a g r a m O b j e c t K e y a n y T y p e z b w N T n L X > < a : K e y > < K e y > C o l u m n s \ N e o   I n t   C a r e   A v a i l < / K e y > < / a : K e y > < a : V a l u e   i : t y p e = " M e a s u r e G r i d N o d e V i e w S t a t e " > < C o l u m n > 3 0 < / C o l u m n > < L a y e d O u t > t r u e < / L a y e d O u t > < / a : V a l u e > < / a : K e y V a l u e O f D i a g r a m O b j e c t K e y a n y T y p e z b w N T n L X > < a : K e y V a l u e O f D i a g r a m O b j e c t K e y a n y T y p e z b w N T n L X > < a : K e y > < K e y > C o l u m n s \ N e o   I n t   C a r e   o c c < / K e y > < / a : K e y > < a : V a l u e   i : t y p e = " M e a s u r e G r i d N o d e V i e w S t a t e " > < C o l u m n > 3 1 < / C o l u m n > < L a y e d O u t > t r u e < / L a y e d O u t > < / a : V a l u e > < / a : K e y V a l u e O f D i a g r a m O b j e c t K e y a n y T y p e z b w N T n L X > < a : K e y V a l u e O f D i a g r a m O b j e c t K e y a n y T y p e z b w N T n L X > < a : K e y > < K e y > C o l u m n s \ O P E L   3   o r   a b o v e < / K e y > < / a : K e y > < a : V a l u e   i : t y p e = " M e a s u r e G r i d N o d e V i e w S t a t e " > < C o l u m n > 3 2 < / C o l u m n > < L a y e d O u t > t r u e < / L a y e d O u t > < / a : V a l u e > < / a : K e y V a l u e O f D i a g r a m O b j e c t K e y a n y T y p e z b w N T n L X > < a : K e y V a l u e O f D i a g r a m O b j e c t K e y a n y T y p e z b w N T n L X > < a : K e y > < K e y > C o l u m n s \ W e e k e n d < / K e y > < / a : K e y > < a : V a l u e   i : t y p e = " M e a s u r e G r i d N o d e V i e w S t a t e " > < C o l u m n > 3 3 < / C o l u m n > < L a y e d O u t > t r u e < / L a y e d O u t > < / a : V a l u e > < / a : K e y V a l u e O f D i a g r a m O b j e c t K e y a n y T y p e z b w N T n L X > < a : K e y V a l u e O f D i a g r a m O b j e c t K e y a n y T y p e z b w N T n L X > < a : K e y > < K e y > C o l u m n s \ R e g i o n < / K e y > < / a : K e y > < a : V a l u e   i : t y p e = " M e a s u r e G r i d N o d e V i e w S t a t e " > < C o l u m n > 3 4 < / C o l u m n > < L a y e d O u t > t r u e < / L a y e d O u t > < / a : V a l u e > < / a : K e y V a l u e O f D i a g r a m O b j e c t K e y a n y T y p e z b w N T n L X > < a : K e y V a l u e O f D i a g r a m O b j e c t K e y a n y T y p e z b w N T n L X > < a : K e y > < K e y > C o l u m n s \ Y e a r < / K e y > < / a : K e y > < a : V a l u e   i : t y p e = " M e a s u r e G r i d N o d e V i e w S t a t e " > < C o l u m n > 3 5 < / C o l u m n > < L a y e d O u t > t r u e < / L a y e d O u t > < / a : V a l u e > < / a : K e y V a l u e O f D i a g r a m O b j e c t K e y a n y T y p e z b w N T n L X > < a : K e y V a l u e O f D i a g r a m O b j e c t K e y a n y T y p e z b w N T n L X > < a : K e y > < K e y > C o l u m n s \ B e d s   o c c   o v e r   7   d a y s < / K e y > < / a : K e y > < a : V a l u e   i : t y p e = " M e a s u r e G r i d N o d e V i e w S t a t e " > < C o l u m n > 3 6 < / C o l u m n > < L a y e d O u t > t r u e < / L a y e d O u t > < / a : V a l u e > < / a : K e y V a l u e O f D i a g r a m O b j e c t K e y a n y T y p e z b w N T n L X > < a : K e y V a l u e O f D i a g r a m O b j e c t K e y a n y T y p e z b w N T n L X > < a : K e y > < K e y > C o l u m n s \ B e d s   o c c   o v e r   2 1   d a y s < / K e y > < / a : K e y > < a : V a l u e   i : t y p e = " M e a s u r e G r i d N o d e V i e w S t a t e " > < C o l u m n > 3 7 < / C o l u m n > < L a y e d O u t > t r u e < / L a y e d O u t > < / a : V a l u e > < / a : K e y V a l u e O f D i a g r a m O b j e c t K e y a n y T y p e z b w N T n L X > < a : K e y V a l u e O f D i a g r a m O b j e c t K e y a n y T y p e z b w N T n L X > < a : K e y > < K e y > C o l u m n s \ A m b   a r r i v a l s < / K e y > < / a : K e y > < a : V a l u e   i : t y p e = " M e a s u r e G r i d N o d e V i e w S t a t e " > < C o l u m n > 3 8 < / C o l u m n > < L a y e d O u t > t r u e < / L a y e d O u t > < / a : V a l u e > < / a : K e y V a l u e O f D i a g r a m O b j e c t K e y a n y T y p e z b w N T n L X > < a : K e y V a l u e O f D i a g r a m O b j e c t K e y a n y T y p e z b w N T n L X > < a : K e y > < K e y > C o l u m n s \ A m b   d e l a y s   3 0 - 6 0   m i n s < / K e y > < / a : K e y > < a : V a l u e   i : t y p e = " M e a s u r e G r i d N o d e V i e w S t a t e " > < C o l u m n > 3 9 < / C o l u m n > < L a y e d O u t > t r u e < / L a y e d O u t > < / a : V a l u e > < / a : K e y V a l u e O f D i a g r a m O b j e c t K e y a n y T y p e z b w N T n L X > < a : K e y V a l u e O f D i a g r a m O b j e c t K e y a n y T y p e z b w N T n L X > < a : K e y > < K e y > C o l u m n s \ A m b   d e l a y s   o v e r   6 0   m i n s < / K e y > < / a : K e y > < a : V a l u e   i : t y p e = " M e a s u r e G r i d N o d e V i e w S t a t e " > < C o l u m n > 4 0 < / C o l u m n > < L a y e d O u t > t r u e < / L a y e d O u t > < / a : V a l u e > < / a : K e y V a l u e O f D i a g r a m O b j e c t K e y a n y T y p e z b w N T n L X > < a : K e y V a l u e O f D i a g r a m O b j e c t K e y a n y T y p e z b w N T n L X > < a : K e y > < K e y > C o l u m n s \ W e e k   l o n g < / K e y > < / a : K e y > < a : V a l u e   i : t y p e = " M e a s u r e G r i d N o d e V i e w S t a t e " > < C o l u m n > 9 < / C o l u m n > < L a y e d O u t > t r u e < / L a y e d O u t > < / a : V a l u e > < / a : K e y V a l u e O f D i a g r a m O b j e c t K e y a n y T y p e z b w N T n L X > < a : K e y V a l u e O f D i a g r a m O b j e c t K e y a n y T y p e z b w N T n L X > < a : K e y > < K e y > C o l u m n s \ G A   b e d   o c c u p a n c y < / K e y > < / a : K e y > < a : V a l u e   i : t y p e = " M e a s u r e G r i d N o d e V i e w S t a t e " > < C o l u m n > 2 3 < / C o l u m n > < L a y e d O u t > t r u e < / L a y e d O u t > < / a : V a l u e > < / a : K e y V a l u e O f D i a g r a m O b j e c t K e y a n y T y p e z b w N T n L X > < a : K e y V a l u e O f D i a g r a m O b j e c t K e y a n y T y p e z b w N T n L X > < a : K e y > < K e y > C o l u m n s \ B e d s   o c c   o v e r   1 4   d a y s < / K e y > < / a : K e y > < a : V a l u e   i : t y p e = " M e a s u r e G r i d N o d e V i e w S t a t e " > < C o l u m n > 4 1 < / C o l u m n > < L a y e d O u t > t r u e < / L a y e d O u t > < / a : V a l u e > < / a : K e y V a l u e O f D i a g r a m O b j e c t K e y a n y T y p e z b w N T n L X > < a : K e y V a l u e O f D i a g r a m O b j e c t K e y a n y T y p e z b w N T n L X > < a : K e y > < K e y > L i n k s \ & l t ; C o l u m n s \ S u m   o f   A E   d i v e r t s & g t ; - & l t ; M e a s u r e s \ A E   d i v e r t s & g t ; < / K e y > < / a : K e y > < a : V a l u e   i : t y p e = " M e a s u r e G r i d V i e w S t a t e I D i a g r a m L i n k " / > < / a : K e y V a l u e O f D i a g r a m O b j e c t K e y a n y T y p e z b w N T n L X > < a : K e y V a l u e O f D i a g r a m O b j e c t K e y a n y T y p e z b w N T n L X > < a : K e y > < K e y > L i n k s \ & l t ; C o l u m n s \ S u m   o f   A E   d i v e r t s & g t ; - & l t ; M e a s u r e s \ A E   d i v e r t s & g t ; \ C O L U M N < / K e y > < / a : K e y > < a : V a l u e   i : t y p e = " M e a s u r e G r i d V i e w S t a t e I D i a g r a m L i n k E n d p o i n t " / > < / a : K e y V a l u e O f D i a g r a m O b j e c t K e y a n y T y p e z b w N T n L X > < a : K e y V a l u e O f D i a g r a m O b j e c t K e y a n y T y p e z b w N T n L X > < a : K e y > < K e y > L i n k s \ & l t ; C o l u m n s \ S u m   o f   A E   d i v e r t s & g t ; - & l t ; M e a s u r e s \ A E   d i v e r t s & g t ; \ M E A S U R E < / K e y > < / a : K e y > < a : V a l u e   i : t y p e = " M e a s u r e G r i d V i e w S t a t e I D i a g r a m L i n k E n d p o i n t " / > < / a : K e y V a l u e O f D i a g r a m O b j e c t K e y a n y T y p e z b w N T n L X > < a : K e y V a l u e O f D i a g r a m O b j e c t K e y a n y T y p e z b w N T n L X > < a : K e y > < K e y > L i n k s \ & l t ; C o l u m n s \ S u m   o f   G A   t o t a l   b e d s   o c c u p i e d & g t ; - & l t ; M e a s u r e s \ G A   t o t a l   b e d s   o c c u p i e d & g t ; < / K e y > < / a : K e y > < a : V a l u e   i : t y p e = " M e a s u r e G r i d V i e w S t a t e I D i a g r a m L i n k " / > < / a : K e y V a l u e O f D i a g r a m O b j e c t K e y a n y T y p e z b w N T n L X > < a : K e y V a l u e O f D i a g r a m O b j e c t K e y a n y T y p e z b w N T n L X > < a : K e y > < K e y > L i n k s \ & l t ; C o l u m n s \ S u m   o f   G A   t o t a l   b e d s   o c c u p i e d & g t ; - & l t ; M e a s u r e s \ G A   t o t a l   b e d s   o c c u p i e d & g t ; \ C O L U M N < / K e y > < / a : K e y > < a : V a l u e   i : t y p e = " M e a s u r e G r i d V i e w S t a t e I D i a g r a m L i n k E n d p o i n t " / > < / a : K e y V a l u e O f D i a g r a m O b j e c t K e y a n y T y p e z b w N T n L X > < a : K e y V a l u e O f D i a g r a m O b j e c t K e y a n y T y p e z b w N T n L X > < a : K e y > < K e y > L i n k s \ & l t ; C o l u m n s \ S u m   o f   G A   t o t a l   b e d s   o c c u p i e d & g t ; - & l t ; M e a s u r e s \ G A   t o t a l   b e d s   o c c u p i e d & g t ; \ M E A S U R E < / K e y > < / a : K e y > < a : V a l u e   i : t y p e = " M e a s u r e G r i d V i e w S t a t e I D i a g r a m L i n k E n d p o i n t " / > < / a : K e y V a l u e O f D i a g r a m O b j e c t K e y a n y T y p e z b w N T n L X > < a : K e y V a l u e O f D i a g r a m O b j e c t K e y a n y T y p e z b w N T n L X > < a : K e y > < K e y > L i n k s \ & l t ; C o l u m n s \ A v e r a g e   o f   G A   t o t a l   b e d s   o c c u p i e d & g t ; - & l t ; M e a s u r e s \ G A   t o t a l   b e d s   o c c u p i e d & g t ; < / K e y > < / a : K e y > < a : V a l u e   i : t y p e = " M e a s u r e G r i d V i e w S t a t e I D i a g r a m L i n k " / > < / a : K e y V a l u e O f D i a g r a m O b j e c t K e y a n y T y p e z b w N T n L X > < a : K e y V a l u e O f D i a g r a m O b j e c t K e y a n y T y p e z b w N T n L X > < a : K e y > < K e y > L i n k s \ & l t ; C o l u m n s \ A v e r a g e   o f   G A   t o t a l   b e d s   o c c u p i e d & g t ; - & l t ; M e a s u r e s \ G A   t o t a l   b e d s   o c c u p i e d & g t ; \ C O L U M N < / K e y > < / a : K e y > < a : V a l u e   i : t y p e = " M e a s u r e G r i d V i e w S t a t e I D i a g r a m L i n k E n d p o i n t " / > < / a : K e y V a l u e O f D i a g r a m O b j e c t K e y a n y T y p e z b w N T n L X > < a : K e y V a l u e O f D i a g r a m O b j e c t K e y a n y T y p e z b w N T n L X > < a : K e y > < K e y > L i n k s \ & l t ; C o l u m n s \ A v e r a g e   o f   G A   t o t a l   b e d s   o c c u p i e d & g t ; - & l t ; M e a s u r e s \ G A   t o t a l   b e d s   o c c u p i e d & g t ; \ M E A S U R E < / K e y > < / a : K e y > < a : V a l u e   i : t y p e = " M e a s u r e G r i d V i e w S t a t e I D i a g r a m L i n k E n d p o i n t " / > < / a : K e y V a l u e O f D i a g r a m O b j e c t K e y a n y T y p e z b w N T n L X > < a : K e y V a l u e O f D i a g r a m O b j e c t K e y a n y T y p e z b w N T n L X > < a : K e y > < K e y > L i n k s \ & l t ; C o l u m n s \ S u m   o f   G A   t o t a l   b e d s   a v a i l & g t ; - & l t ; M e a s u r e s \ G A   t o t a l   b e d s   a v a i l & g t ; < / K e y > < / a : K e y > < a : V a l u e   i : t y p e = " M e a s u r e G r i d V i e w S t a t e I D i a g r a m L i n k " / > < / a : K e y V a l u e O f D i a g r a m O b j e c t K e y a n y T y p e z b w N T n L X > < a : K e y V a l u e O f D i a g r a m O b j e c t K e y a n y T y p e z b w N T n L X > < a : K e y > < K e y > L i n k s \ & l t ; C o l u m n s \ S u m   o f   G A   t o t a l   b e d s   a v a i l & g t ; - & l t ; M e a s u r e s \ G A   t o t a l   b e d s   a v a i l & g t ; \ C O L U M N < / K e y > < / a : K e y > < a : V a l u e   i : t y p e = " M e a s u r e G r i d V i e w S t a t e I D i a g r a m L i n k E n d p o i n t " / > < / a : K e y V a l u e O f D i a g r a m O b j e c t K e y a n y T y p e z b w N T n L X > < a : K e y V a l u e O f D i a g r a m O b j e c t K e y a n y T y p e z b w N T n L X > < a : K e y > < K e y > L i n k s \ & l t ; C o l u m n s \ S u m   o f   G A   t o t a l   b e d s   a v a i l & g t ; - & l t ; M e a s u r e s \ G A   t o t a l   b e d s   a v a i l & g t ; \ M E A S U R E < / K e y > < / a : K e y > < a : V a l u e   i : t y p e = " M e a s u r e G r i d V i e w S t a t e I D i a g r a m L i n k E n d p o i n t " / > < / a : K e y V a l u e O f D i a g r a m O b j e c t K e y a n y T y p e z b w N T n L X > < a : K e y V a l u e O f D i a g r a m O b j e c t K e y a n y T y p e z b w N T n L X > < a : K e y > < K e y > L i n k s \ & l t ; C o l u m n s \ S u m   o f   B e d s   o c c   o v e r   7   d a y s & g t ; - & l t ; M e a s u r e s \ B e d s   o c c   o v e r   7   d a y s & g t ; < / K e y > < / a : K e y > < a : V a l u e   i : t y p e = " M e a s u r e G r i d V i e w S t a t e I D i a g r a m L i n k " / > < / a : K e y V a l u e O f D i a g r a m O b j e c t K e y a n y T y p e z b w N T n L X > < a : K e y V a l u e O f D i a g r a m O b j e c t K e y a n y T y p e z b w N T n L X > < a : K e y > < K e y > L i n k s \ & l t ; C o l u m n s \ S u m   o f   B e d s   o c c   o v e r   7   d a y s & g t ; - & l t ; M e a s u r e s \ B e d s   o c c   o v e r   7   d a y s & g t ; \ C O L U M N < / K e y > < / a : K e y > < a : V a l u e   i : t y p e = " M e a s u r e G r i d V i e w S t a t e I D i a g r a m L i n k E n d p o i n t " / > < / a : K e y V a l u e O f D i a g r a m O b j e c t K e y a n y T y p e z b w N T n L X > < a : K e y V a l u e O f D i a g r a m O b j e c t K e y a n y T y p e z b w N T n L X > < a : K e y > < K e y > L i n k s \ & l t ; C o l u m n s \ S u m   o f   B e d s   o c c   o v e r   7   d a y s & g t ; - & l t ; M e a s u r e s \ B e d s   o c c   o v e r   7   d a y s & g t ; \ M E A S U R E < / K e y > < / a : K e y > < a : V a l u e   i : t y p e = " M e a s u r e G r i d V i e w S t a t e I D i a g r a m L i n k E n d p o i n t " / > < / a : K e y V a l u e O f D i a g r a m O b j e c t K e y a n y T y p e z b w N T n L X > < a : K e y V a l u e O f D i a g r a m O b j e c t K e y a n y T y p e z b w N T n L X > < a : K e y > < K e y > L i n k s \ & l t ; C o l u m n s \ S u m   o f   B e d s   o c c   o v e r   2 1   d a y s & g t ; - & l t ; M e a s u r e s \ B e d s   o c c   o v e r   2 1   d a y s & g t ; < / K e y > < / a : K e y > < a : V a l u e   i : t y p e = " M e a s u r e G r i d V i e w S t a t e I D i a g r a m L i n k " / > < / a : K e y V a l u e O f D i a g r a m O b j e c t K e y a n y T y p e z b w N T n L X > < a : K e y V a l u e O f D i a g r a m O b j e c t K e y a n y T y p e z b w N T n L X > < a : K e y > < K e y > L i n k s \ & l t ; C o l u m n s \ S u m   o f   B e d s   o c c   o v e r   2 1   d a y s & g t ; - & l t ; M e a s u r e s \ B e d s   o c c   o v e r   2 1   d a y s & g t ; \ C O L U M N < / K e y > < / a : K e y > < a : V a l u e   i : t y p e = " M e a s u r e G r i d V i e w S t a t e I D i a g r a m L i n k E n d p o i n t " / > < / a : K e y V a l u e O f D i a g r a m O b j e c t K e y a n y T y p e z b w N T n L X > < a : K e y V a l u e O f D i a g r a m O b j e c t K e y a n y T y p e z b w N T n L X > < a : K e y > < K e y > L i n k s \ & l t ; C o l u m n s \ S u m   o f   B e d s   o c c   o v e r   2 1   d a y s & g t ; - & l t ; M e a s u r e s \ B e d s   o c c   o v e r   2 1   d a y s & g t ; \ M E A S U R E < / K e y > < / a : K e y > < a : V a l u e   i : t y p e = " M e a s u r e G r i d V i e w S t a t e I D i a g r a m L i n k E n d p o i n t " / > < / a : K e y V a l u e O f D i a g r a m O b j e c t K e y a n y T y p e z b w N T n L X > < a : K e y V a l u e O f D i a g r a m O b j e c t K e y a n y T y p e z b w N T n L X > < a : K e y > < K e y > L i n k s \ & l t ; C o l u m n s \ A v e r a g e   o f   B e d s   o c c   o v e r   2 1   d a y s & g t ; - & l t ; M e a s u r e s \ B e d s   o c c   o v e r   2 1   d a y s & g t ; < / K e y > < / a : K e y > < a : V a l u e   i : t y p e = " M e a s u r e G r i d V i e w S t a t e I D i a g r a m L i n k " / > < / a : K e y V a l u e O f D i a g r a m O b j e c t K e y a n y T y p e z b w N T n L X > < a : K e y V a l u e O f D i a g r a m O b j e c t K e y a n y T y p e z b w N T n L X > < a : K e y > < K e y > L i n k s \ & l t ; C o l u m n s \ A v e r a g e   o f   B e d s   o c c   o v e r   2 1   d a y s & g t ; - & l t ; M e a s u r e s \ B e d s   o c c   o v e r   2 1   d a y s & g t ; \ C O L U M N < / K e y > < / a : K e y > < a : V a l u e   i : t y p e = " M e a s u r e G r i d V i e w S t a t e I D i a g r a m L i n k E n d p o i n t " / > < / a : K e y V a l u e O f D i a g r a m O b j e c t K e y a n y T y p e z b w N T n L X > < a : K e y V a l u e O f D i a g r a m O b j e c t K e y a n y T y p e z b w N T n L X > < a : K e y > < K e y > L i n k s \ & l t ; C o l u m n s \ A v e r a g e   o f   B e d s   o c c   o v e r   2 1   d a y s & g t ; - & l t ; M e a s u r e s \ B e d s   o c c   o v e r   2 1   d a y s & g t ; \ M E A S U R E < / K e y > < / a : K e y > < a : V a l u e   i : t y p e = " M e a s u r e G r i d V i e w S t a t e I D i a g r a m L i n k E n d p o i n t " / > < / a : K e y V a l u e O f D i a g r a m O b j e c t K e y a n y T y p e z b w N T n L X > < a : K e y V a l u e O f D i a g r a m O b j e c t K e y a n y T y p e z b w N T n L X > < a : K e y > < K e y > L i n k s \ & l t ; C o l u m n s \ S u m   o f   B e d s   c l o s e d   n o r o v i r u s & g t ; - & l t ; M e a s u r e s \ B e d s   c l o s e d   n o r o v i r u s & g t ; < / K e y > < / a : K e y > < a : V a l u e   i : t y p e = " M e a s u r e G r i d V i e w S t a t e I D i a g r a m L i n k " / > < / a : K e y V a l u e O f D i a g r a m O b j e c t K e y a n y T y p e z b w N T n L X > < a : K e y V a l u e O f D i a g r a m O b j e c t K e y a n y T y p e z b w N T n L X > < a : K e y > < K e y > L i n k s \ & l t ; C o l u m n s \ S u m   o f   B e d s   c l o s e d   n o r o v i r u s & g t ; - & l t ; M e a s u r e s \ B e d s   c l o s e d   n o r o v i r u s & g t ; \ C O L U M N < / K e y > < / a : K e y > < a : V a l u e   i : t y p e = " M e a s u r e G r i d V i e w S t a t e I D i a g r a m L i n k E n d p o i n t " / > < / a : K e y V a l u e O f D i a g r a m O b j e c t K e y a n y T y p e z b w N T n L X > < a : K e y V a l u e O f D i a g r a m O b j e c t K e y a n y T y p e z b w N T n L X > < a : K e y > < K e y > L i n k s \ & l t ; C o l u m n s \ S u m   o f   B e d s   c l o s e d   n o r o v i r u s & g t ; - & l t ; M e a s u r e s \ B e d s   c l o s e d   n o r o v i r u s & g t ; \ M E A S U R E < / K e y > < / a : K e y > < a : V a l u e   i : t y p e = " M e a s u r e G r i d V i e w S t a t e I D i a g r a m L i n k E n d p o i n t " / > < / a : K e y V a l u e O f D i a g r a m O b j e c t K e y a n y T y p e z b w N T n L X > < a : K e y V a l u e O f D i a g r a m O b j e c t K e y a n y T y p e z b w N T n L X > < a : K e y > < K e y > L i n k s \ & l t ; C o l u m n s \ A v e r a g e   o f   B e d s   c l o s e d   n o r o v i r u s & g t ; - & l t ; M e a s u r e s \ B e d s   c l o s e d   n o r o v i r u s & g t ; < / K e y > < / a : K e y > < a : V a l u e   i : t y p e = " M e a s u r e G r i d V i e w S t a t e I D i a g r a m L i n k " / > < / a : K e y V a l u e O f D i a g r a m O b j e c t K e y a n y T y p e z b w N T n L X > < a : K e y V a l u e O f D i a g r a m O b j e c t K e y a n y T y p e z b w N T n L X > < a : K e y > < K e y > L i n k s \ & l t ; C o l u m n s \ A v e r a g e   o f   B e d s   c l o s e d   n o r o v i r u s & g t ; - & l t ; M e a s u r e s \ B e d s   c l o s e d   n o r o v i r u s & g t ; \ C O L U M N < / K e y > < / a : K e y > < a : V a l u e   i : t y p e = " M e a s u r e G r i d V i e w S t a t e I D i a g r a m L i n k E n d p o i n t " / > < / a : K e y V a l u e O f D i a g r a m O b j e c t K e y a n y T y p e z b w N T n L X > < a : K e y V a l u e O f D i a g r a m O b j e c t K e y a n y T y p e z b w N T n L X > < a : K e y > < K e y > L i n k s \ & l t ; C o l u m n s \ A v e r a g e   o f   B e d s   c l o s e d   n o r o v i r u s & g t ; - & l t ; M e a s u r e s \ B e d s   c l o s e d   n o r o v i r u s & g t ; \ M E A S U R E < / K e y > < / a : K e y > < a : V a l u e   i : t y p e = " M e a s u r e G r i d V i e w S t a t e I D i a g r a m L i n k E n d p o i n t " / > < / a : K e y V a l u e O f D i a g r a m O b j e c t K e y a n y T y p e z b w N T n L X > < a : K e y V a l u e O f D i a g r a m O b j e c t K e y a n y T y p e z b w N T n L X > < a : K e y > < K e y > L i n k s \ & l t ; C o l u m n s \ S u m   o f   B e d s   c l o s e d   n o r o v i u s   u n o c c & g t ; - & l t ; M e a s u r e s \ B e d s   c l o s e d   n o r o v i u s   u n o c c & g t ; < / K e y > < / a : K e y > < a : V a l u e   i : t y p e = " M e a s u r e G r i d V i e w S t a t e I D i a g r a m L i n k " / > < / a : K e y V a l u e O f D i a g r a m O b j e c t K e y a n y T y p e z b w N T n L X > < a : K e y V a l u e O f D i a g r a m O b j e c t K e y a n y T y p e z b w N T n L X > < a : K e y > < K e y > L i n k s \ & l t ; C o l u m n s \ S u m   o f   B e d s   c l o s e d   n o r o v i u s   u n o c c & g t ; - & l t ; M e a s u r e s \ B e d s   c l o s e d   n o r o v i u s   u n o c c & g t ; \ C O L U M N < / K e y > < / a : K e y > < a : V a l u e   i : t y p e = " M e a s u r e G r i d V i e w S t a t e I D i a g r a m L i n k E n d p o i n t " / > < / a : K e y V a l u e O f D i a g r a m O b j e c t K e y a n y T y p e z b w N T n L X > < a : K e y V a l u e O f D i a g r a m O b j e c t K e y a n y T y p e z b w N T n L X > < a : K e y > < K e y > L i n k s \ & l t ; C o l u m n s \ S u m   o f   B e d s   c l o s e d   n o r o v i u s   u n o c c & g t ; - & l t ; M e a s u r e s \ B e d s   c l o s e d   n o r o v i u s   u n o c c & g t ; \ M E A S U R E < / K e y > < / a : K e y > < a : V a l u e   i : t y p e = " M e a s u r e G r i d V i e w S t a t e I D i a g r a m L i n k E n d p o i n t " / > < / a : K e y V a l u e O f D i a g r a m O b j e c t K e y a n y T y p e z b w N T n L X > < a : K e y V a l u e O f D i a g r a m O b j e c t K e y a n y T y p e z b w N T n L X > < a : K e y > < K e y > L i n k s \ & l t ; C o l u m n s \ S u m   o f   A m b   a r r i v a l s & g t ; - & l t ; M e a s u r e s \ A m b   a r r i v a l s & g t ; < / K e y > < / a : K e y > < a : V a l u e   i : t y p e = " M e a s u r e G r i d V i e w S t a t e I D i a g r a m L i n k " / > < / a : K e y V a l u e O f D i a g r a m O b j e c t K e y a n y T y p e z b w N T n L X > < a : K e y V a l u e O f D i a g r a m O b j e c t K e y a n y T y p e z b w N T n L X > < a : K e y > < K e y > L i n k s \ & l t ; C o l u m n s \ S u m   o f   A m b   a r r i v a l s & g t ; - & l t ; M e a s u r e s \ A m b   a r r i v a l s & g t ; \ C O L U M N < / K e y > < / a : K e y > < a : V a l u e   i : t y p e = " M e a s u r e G r i d V i e w S t a t e I D i a g r a m L i n k E n d p o i n t " / > < / a : K e y V a l u e O f D i a g r a m O b j e c t K e y a n y T y p e z b w N T n L X > < a : K e y V a l u e O f D i a g r a m O b j e c t K e y a n y T y p e z b w N T n L X > < a : K e y > < K e y > L i n k s \ & l t ; C o l u m n s \ S u m   o f   A m b   a r r i v a l s & g t ; - & l t ; M e a s u r e s \ A m b   a r r i v a l s & g t ; \ M E A S U R E < / K e y > < / a : K e y > < a : V a l u e   i : t y p e = " M e a s u r e G r i d V i e w S t a t e I D i a g r a m L i n k E n d p o i n t " / > < / a : K e y V a l u e O f D i a g r a m O b j e c t K e y a n y T y p e z b w N T n L X > < a : K e y V a l u e O f D i a g r a m O b j e c t K e y a n y T y p e z b w N T n L X > < a : K e y > < K e y > L i n k s \ & l t ; C o l u m n s \ S u m   o f   A m b   d e l a y s   3 0 - 6 0   m i n s & g t ; - & l t ; M e a s u r e s \ A m b   d e l a y s   3 0 - 6 0   m i n s & g t ; < / K e y > < / a : K e y > < a : V a l u e   i : t y p e = " M e a s u r e G r i d V i e w S t a t e I D i a g r a m L i n k " / > < / a : K e y V a l u e O f D i a g r a m O b j e c t K e y a n y T y p e z b w N T n L X > < a : K e y V a l u e O f D i a g r a m O b j e c t K e y a n y T y p e z b w N T n L X > < a : K e y > < K e y > L i n k s \ & l t ; C o l u m n s \ S u m   o f   A m b   d e l a y s   3 0 - 6 0   m i n s & g t ; - & l t ; M e a s u r e s \ A m b   d e l a y s   3 0 - 6 0   m i n s & g t ; \ C O L U M N < / K e y > < / a : K e y > < a : V a l u e   i : t y p e = " M e a s u r e G r i d V i e w S t a t e I D i a g r a m L i n k E n d p o i n t " / > < / a : K e y V a l u e O f D i a g r a m O b j e c t K e y a n y T y p e z b w N T n L X > < a : K e y V a l u e O f D i a g r a m O b j e c t K e y a n y T y p e z b w N T n L X > < a : K e y > < K e y > L i n k s \ & l t ; C o l u m n s \ S u m   o f   A m b   d e l a y s   3 0 - 6 0   m i n s & g t ; - & l t ; M e a s u r e s \ A m b   d e l a y s   3 0 - 6 0   m i n s & g t ; \ M E A S U R E < / K e y > < / a : K e y > < a : V a l u e   i : t y p e = " M e a s u r e G r i d V i e w S t a t e I D i a g r a m L i n k E n d p o i n t " / > < / a : K e y V a l u e O f D i a g r a m O b j e c t K e y a n y T y p e z b w N T n L X > < a : K e y V a l u e O f D i a g r a m O b j e c t K e y a n y T y p e z b w N T n L X > < a : K e y > < K e y > L i n k s \ & l t ; C o l u m n s \ S u m   o f   A m b   d e l a y s   o v e r   6 0   m i n s & g t ; - & l t ; M e a s u r e s \ A m b   d e l a y s   o v e r   6 0   m i n s & g t ; < / K e y > < / a : K e y > < a : V a l u e   i : t y p e = " M e a s u r e G r i d V i e w S t a t e I D i a g r a m L i n k " / > < / a : K e y V a l u e O f D i a g r a m O b j e c t K e y a n y T y p e z b w N T n L X > < a : K e y V a l u e O f D i a g r a m O b j e c t K e y a n y T y p e z b w N T n L X > < a : K e y > < K e y > L i n k s \ & l t ; C o l u m n s \ S u m   o f   A m b   d e l a y s   o v e r   6 0   m i n s & g t ; - & l t ; M e a s u r e s \ A m b   d e l a y s   o v e r   6 0   m i n s & g t ; \ C O L U M N < / K e y > < / a : K e y > < a : V a l u e   i : t y p e = " M e a s u r e G r i d V i e w S t a t e I D i a g r a m L i n k E n d p o i n t " / > < / a : K e y V a l u e O f D i a g r a m O b j e c t K e y a n y T y p e z b w N T n L X > < a : K e y V a l u e O f D i a g r a m O b j e c t K e y a n y T y p e z b w N T n L X > < a : K e y > < K e y > L i n k s \ & l t ; C o l u m n s \ S u m   o f   A m b   d e l a y s   o v e r   6 0   m i n s & g t ; - & l t ; M e a s u r e s \ A m b   d e l a y s   o v e r   6 0   m i n s & g t ; \ M E A S U R E < / K e y > < / a : K e y > < a : V a l u e   i : t y p e = " M e a s u r e G r i d V i e w S t a t e I D i a g r a m L i n k E n d p o i n t " / > < / a : K e y V a l u e O f D i a g r a m O b j e c t K e y a n y T y p e z b w N T n L X > < a : K e y V a l u e O f D i a g r a m O b j e c t K e y a n y T y p e z b w N T n L X > < a : K e y > < K e y > L i n k s \ & l t ; C o l u m n s \ S u m   o f   A d u l t   C C   b e d s   a v a i l & g t ; - & l t ; M e a s u r e s \ A d u l t   C C   b e d s   a v a i l & g t ; < / K e y > < / a : K e y > < a : V a l u e   i : t y p e = " M e a s u r e G r i d V i e w S t a t e I D i a g r a m L i n k " / > < / a : K e y V a l u e O f D i a g r a m O b j e c t K e y a n y T y p e z b w N T n L X > < a : K e y V a l u e O f D i a g r a m O b j e c t K e y a n y T y p e z b w N T n L X > < a : K e y > < K e y > L i n k s \ & l t ; C o l u m n s \ S u m   o f   A d u l t   C C   b e d s   a v a i l & g t ; - & l t ; M e a s u r e s \ A d u l t   C C   b e d s   a v a i l & g t ; \ C O L U M N < / K e y > < / a : K e y > < a : V a l u e   i : t y p e = " M e a s u r e G r i d V i e w S t a t e I D i a g r a m L i n k E n d p o i n t " / > < / a : K e y V a l u e O f D i a g r a m O b j e c t K e y a n y T y p e z b w N T n L X > < a : K e y V a l u e O f D i a g r a m O b j e c t K e y a n y T y p e z b w N T n L X > < a : K e y > < K e y > L i n k s \ & l t ; C o l u m n s \ S u m   o f   A d u l t   C C   b e d s   a v a i l & g t ; - & l t ; M e a s u r e s \ A d u l t   C C   b e d s   a v a i l & g t ; \ M E A S U R E < / K e y > < / a : K e y > < a : V a l u e   i : t y p e = " M e a s u r e G r i d V i e w S t a t e I D i a g r a m L i n k E n d p o i n t " / > < / a : K e y V a l u e O f D i a g r a m O b j e c t K e y a n y T y p e z b w N T n L X > < a : K e y V a l u e O f D i a g r a m O b j e c t K e y a n y T y p e z b w N T n L X > < a : K e y > < K e y > L i n k s \ & l t ; C o l u m n s \ S u m   o f   A d u l t   C C   b e d s   o c c & g t ; - & l t ; M e a s u r e s \ A d u l t   C C   b e d s   o c c & g t ; < / K e y > < / a : K e y > < a : V a l u e   i : t y p e = " M e a s u r e G r i d V i e w S t a t e I D i a g r a m L i n k " / > < / a : K e y V a l u e O f D i a g r a m O b j e c t K e y a n y T y p e z b w N T n L X > < a : K e y V a l u e O f D i a g r a m O b j e c t K e y a n y T y p e z b w N T n L X > < a : K e y > < K e y > L i n k s \ & l t ; C o l u m n s \ S u m   o f   A d u l t   C C   b e d s   o c c & g t ; - & l t ; M e a s u r e s \ A d u l t   C C   b e d s   o c c & g t ; \ C O L U M N < / K e y > < / a : K e y > < a : V a l u e   i : t y p e = " M e a s u r e G r i d V i e w S t a t e I D i a g r a m L i n k E n d p o i n t " / > < / a : K e y V a l u e O f D i a g r a m O b j e c t K e y a n y T y p e z b w N T n L X > < a : K e y V a l u e O f D i a g r a m O b j e c t K e y a n y T y p e z b w N T n L X > < a : K e y > < K e y > L i n k s \ & l t ; C o l u m n s \ S u m   o f   A d u l t   C C   b e d s   o c c & g t ; - & l t ; M e a s u r e s \ A d u l t   C C   b e d s   o c c & g t ; \ M E A S U R E < / K e y > < / a : K e y > < a : V a l u e   i : t y p e = " M e a s u r e G r i d V i e w S t a t e I D i a g r a m L i n k E n d p o i n t " / > < / a : K e y V a l u e O f D i a g r a m O b j e c t K e y a n y T y p e z b w N T n L X > < a : K e y V a l u e O f D i a g r a m O b j e c t K e y a n y T y p e z b w N T n L X > < a : K e y > < K e y > L i n k s \ & l t ; C o l u m n s \ S u m   o f   P a e d   I n t   C a r e   A v a i l & g t ; - & l t ; M e a s u r e s \ P a e d   I n t   C a r e   A v a i l & g t ; < / K e y > < / a : K e y > < a : V a l u e   i : t y p e = " M e a s u r e G r i d V i e w S t a t e I D i a g r a m L i n k " / > < / a : K e y V a l u e O f D i a g r a m O b j e c t K e y a n y T y p e z b w N T n L X > < a : K e y V a l u e O f D i a g r a m O b j e c t K e y a n y T y p e z b w N T n L X > < a : K e y > < K e y > L i n k s \ & l t ; C o l u m n s \ S u m   o f   P a e d   I n t   C a r e   A v a i l & g t ; - & l t ; M e a s u r e s \ P a e d   I n t   C a r e   A v a i l & g t ; \ C O L U M N < / K e y > < / a : K e y > < a : V a l u e   i : t y p e = " M e a s u r e G r i d V i e w S t a t e I D i a g r a m L i n k E n d p o i n t " / > < / a : K e y V a l u e O f D i a g r a m O b j e c t K e y a n y T y p e z b w N T n L X > < a : K e y V a l u e O f D i a g r a m O b j e c t K e y a n y T y p e z b w N T n L X > < a : K e y > < K e y > L i n k s \ & l t ; C o l u m n s \ S u m   o f   P a e d   I n t   C a r e   A v a i l & g t ; - & l t ; M e a s u r e s \ P a e d   I n t   C a r e   A v a i l & g t ; \ M E A S U R E < / K e y > < / a : K e y > < a : V a l u e   i : t y p e = " M e a s u r e G r i d V i e w S t a t e I D i a g r a m L i n k E n d p o i n t " / > < / a : K e y V a l u e O f D i a g r a m O b j e c t K e y a n y T y p e z b w N T n L X > < a : K e y V a l u e O f D i a g r a m O b j e c t K e y a n y T y p e z b w N T n L X > < a : K e y > < K e y > L i n k s \ & l t ; C o l u m n s \ S u m   o f   P a e d   I n t   C a r e   O c c & g t ; - & l t ; M e a s u r e s \ P a e d   I n t   C a r e   O c c & g t ; < / K e y > < / a : K e y > < a : V a l u e   i : t y p e = " M e a s u r e G r i d V i e w S t a t e I D i a g r a m L i n k " / > < / a : K e y V a l u e O f D i a g r a m O b j e c t K e y a n y T y p e z b w N T n L X > < a : K e y V a l u e O f D i a g r a m O b j e c t K e y a n y T y p e z b w N T n L X > < a : K e y > < K e y > L i n k s \ & l t ; C o l u m n s \ S u m   o f   P a e d   I n t   C a r e   O c c & g t ; - & l t ; M e a s u r e s \ P a e d   I n t   C a r e   O c c & g t ; \ C O L U M N < / K e y > < / a : K e y > < a : V a l u e   i : t y p e = " M e a s u r e G r i d V i e w S t a t e I D i a g r a m L i n k E n d p o i n t " / > < / a : K e y V a l u e O f D i a g r a m O b j e c t K e y a n y T y p e z b w N T n L X > < a : K e y V a l u e O f D i a g r a m O b j e c t K e y a n y T y p e z b w N T n L X > < a : K e y > < K e y > L i n k s \ & l t ; C o l u m n s \ S u m   o f   P a e d   I n t   C a r e   O c c & g t ; - & l t ; M e a s u r e s \ P a e d   I n t   C a r e   O c c & g t ; \ M E A S U R E < / K e y > < / a : K e y > < a : V a l u e   i : t y p e = " M e a s u r e G r i d V i e w S t a t e I D i a g r a m L i n k E n d p o i n t " / > < / a : K e y V a l u e O f D i a g r a m O b j e c t K e y a n y T y p e z b w N T n L X > < a : K e y V a l u e O f D i a g r a m O b j e c t K e y a n y T y p e z b w N T n L X > < a : K e y > < K e y > L i n k s \ & l t ; C o l u m n s \ S u m   o f   N e o   I n t   C a r e   A v a i l & g t ; - & l t ; M e a s u r e s \ N e o   I n t   C a r e   A v a i l & g t ; < / K e y > < / a : K e y > < a : V a l u e   i : t y p e = " M e a s u r e G r i d V i e w S t a t e I D i a g r a m L i n k " / > < / a : K e y V a l u e O f D i a g r a m O b j e c t K e y a n y T y p e z b w N T n L X > < a : K e y V a l u e O f D i a g r a m O b j e c t K e y a n y T y p e z b w N T n L X > < a : K e y > < K e y > L i n k s \ & l t ; C o l u m n s \ S u m   o f   N e o   I n t   C a r e   A v a i l & g t ; - & l t ; M e a s u r e s \ N e o   I n t   C a r e   A v a i l & g t ; \ C O L U M N < / K e y > < / a : K e y > < a : V a l u e   i : t y p e = " M e a s u r e G r i d V i e w S t a t e I D i a g r a m L i n k E n d p o i n t " / > < / a : K e y V a l u e O f D i a g r a m O b j e c t K e y a n y T y p e z b w N T n L X > < a : K e y V a l u e O f D i a g r a m O b j e c t K e y a n y T y p e z b w N T n L X > < a : K e y > < K e y > L i n k s \ & l t ; C o l u m n s \ S u m   o f   N e o   I n t   C a r e   A v a i l & g t ; - & l t ; M e a s u r e s \ N e o   I n t   C a r e   A v a i l & g t ; \ M E A S U R E < / K e y > < / a : K e y > < a : V a l u e   i : t y p e = " M e a s u r e G r i d V i e w S t a t e I D i a g r a m L i n k E n d p o i n t " / > < / a : K e y V a l u e O f D i a g r a m O b j e c t K e y a n y T y p e z b w N T n L X > < a : K e y V a l u e O f D i a g r a m O b j e c t K e y a n y T y p e z b w N T n L X > < a : K e y > < K e y > L i n k s \ & l t ; C o l u m n s \ S u m   o f   N e o   I n t   C a r e   o c c & g t ; - & l t ; M e a s u r e s \ N e o   I n t   C a r e   o c c & g t ; < / K e y > < / a : K e y > < a : V a l u e   i : t y p e = " M e a s u r e G r i d V i e w S t a t e I D i a g r a m L i n k " / > < / a : K e y V a l u e O f D i a g r a m O b j e c t K e y a n y T y p e z b w N T n L X > < a : K e y V a l u e O f D i a g r a m O b j e c t K e y a n y T y p e z b w N T n L X > < a : K e y > < K e y > L i n k s \ & l t ; C o l u m n s \ S u m   o f   N e o   I n t   C a r e   o c c & g t ; - & l t ; M e a s u r e s \ N e o   I n t   C a r e   o c c & g t ; \ C O L U M N < / K e y > < / a : K e y > < a : V a l u e   i : t y p e = " M e a s u r e G r i d V i e w S t a t e I D i a g r a m L i n k E n d p o i n t " / > < / a : K e y V a l u e O f D i a g r a m O b j e c t K e y a n y T y p e z b w N T n L X > < a : K e y V a l u e O f D i a g r a m O b j e c t K e y a n y T y p e z b w N T n L X > < a : K e y > < K e y > L i n k s \ & l t ; C o l u m n s \ S u m   o f   N e o   I n t   C a r e   o c c & g t ; - & l t ; M e a s u r e s \ N e o   I n t   C a r e   o c c & g t ; \ M E A S U R E < / K e y > < / a : K e y > < a : V a l u e   i : t y p e = " M e a s u r e G r i d V i e w S t a t e I D i a g r a m L i n k E n d p o i n t " / > < / a : K e y V a l u e O f D i a g r a m O b j e c t K e y a n y T y p e z b w N T n L X > < a : K e y V a l u e O f D i a g r a m O b j e c t K e y a n y T y p e z b w N T n L X > < a : K e y > < K e y > L i n k s \ & l t ; C o l u m n s \ A v e r a g e   o f   N e o   I n t   C a r e   A v a i l & g t ; - & l t ; M e a s u r e s \ N e o   I n t   C a r e   A v a i l & g t ; < / K e y > < / a : K e y > < a : V a l u e   i : t y p e = " M e a s u r e G r i d V i e w S t a t e I D i a g r a m L i n k " / > < / a : K e y V a l u e O f D i a g r a m O b j e c t K e y a n y T y p e z b w N T n L X > < a : K e y V a l u e O f D i a g r a m O b j e c t K e y a n y T y p e z b w N T n L X > < a : K e y > < K e y > L i n k s \ & l t ; C o l u m n s \ A v e r a g e   o f   N e o   I n t   C a r e   A v a i l & g t ; - & l t ; M e a s u r e s \ N e o   I n t   C a r e   A v a i l & g t ; \ C O L U M N < / K e y > < / a : K e y > < a : V a l u e   i : t y p e = " M e a s u r e G r i d V i e w S t a t e I D i a g r a m L i n k E n d p o i n t " / > < / a : K e y V a l u e O f D i a g r a m O b j e c t K e y a n y T y p e z b w N T n L X > < a : K e y V a l u e O f D i a g r a m O b j e c t K e y a n y T y p e z b w N T n L X > < a : K e y > < K e y > L i n k s \ & l t ; C o l u m n s \ A v e r a g e   o f   N e o   I n t   C a r e   A v a i l & g t ; - & l t ; M e a s u r e s \ N e o   I n t   C a r e   A v a i l & g t ; \ M E A S U R E < / K e y > < / a : K e y > < a : V a l u e   i : t y p e = " M e a s u r e G r i d V i e w S t a t e I D i a g r a m L i n k E n d p o i n t " / > < / a : K e y V a l u e O f D i a g r a m O b j e c t K e y a n y T y p e z b w N T n L X > < a : K e y V a l u e O f D i a g r a m O b j e c t K e y a n y T y p e z b w N T n L X > < a : K e y > < K e y > L i n k s \ & l t ; C o l u m n s \ A v e r a g e   o f   N e o   I n t   C a r e   o c c & g t ; - & l t ; M e a s u r e s \ N e o   I n t   C a r e   o c c & g t ; < / K e y > < / a : K e y > < a : V a l u e   i : t y p e = " M e a s u r e G r i d V i e w S t a t e I D i a g r a m L i n k " / > < / a : K e y V a l u e O f D i a g r a m O b j e c t K e y a n y T y p e z b w N T n L X > < a : K e y V a l u e O f D i a g r a m O b j e c t K e y a n y T y p e z b w N T n L X > < a : K e y > < K e y > L i n k s \ & l t ; C o l u m n s \ A v e r a g e   o f   N e o   I n t   C a r e   o c c & g t ; - & l t ; M e a s u r e s \ N e o   I n t   C a r e   o c c & g t ; \ C O L U M N < / K e y > < / a : K e y > < a : V a l u e   i : t y p e = " M e a s u r e G r i d V i e w S t a t e I D i a g r a m L i n k E n d p o i n t " / > < / a : K e y V a l u e O f D i a g r a m O b j e c t K e y a n y T y p e z b w N T n L X > < a : K e y V a l u e O f D i a g r a m O b j e c t K e y a n y T y p e z b w N T n L X > < a : K e y > < K e y > L i n k s \ & l t ; C o l u m n s \ A v e r a g e   o f   N e o   I n t   C a r e   o c c & g t ; - & l t ; M e a s u r e s \ N e o   I n t   C a r e   o c c & g t ; \ M E A S U R E < / K e y > < / a : K e y > < a : V a l u e   i : t y p e = " M e a s u r e G r i d V i e w S t a t e I D i a g r a m L i n k E n d p o i n t " / > < / a : K e y V a l u e O f D i a g r a m O b j e c t K e y a n y T y p e z b w N T n L X > < a : K e y V a l u e O f D i a g r a m O b j e c t K e y a n y T y p e z b w N T n L X > < a : K e y > < K e y > L i n k s \ & l t ; C o l u m n s \ S u m   o f   G A   b e d   o c c u p a n c y & g t ; - & l t ; M e a s u r e s \ G A   b e d   o c c u p a n c y & g t ; < / K e y > < / a : K e y > < a : V a l u e   i : t y p e = " M e a s u r e G r i d V i e w S t a t e I D i a g r a m L i n k " / > < / a : K e y V a l u e O f D i a g r a m O b j e c t K e y a n y T y p e z b w N T n L X > < a : K e y V a l u e O f D i a g r a m O b j e c t K e y a n y T y p e z b w N T n L X > < a : K e y > < K e y > L i n k s \ & l t ; C o l u m n s \ S u m   o f   G A   b e d   o c c u p a n c y & g t ; - & l t ; M e a s u r e s \ G A   b e d   o c c u p a n c y & g t ; \ C O L U M N < / K e y > < / a : K e y > < a : V a l u e   i : t y p e = " M e a s u r e G r i d V i e w S t a t e I D i a g r a m L i n k E n d p o i n t " / > < / a : K e y V a l u e O f D i a g r a m O b j e c t K e y a n y T y p e z b w N T n L X > < a : K e y V a l u e O f D i a g r a m O b j e c t K e y a n y T y p e z b w N T n L X > < a : K e y > < K e y > L i n k s \ & l t ; C o l u m n s \ S u m   o f   G A   b e d   o c c u p a n c y & g t ; - & l t ; M e a s u r e s \ G A   b e d   o c c u p a n c y & g t ; \ M E A S U R E < / K e y > < / a : K e y > < a : V a l u e   i : t y p e = " M e a s u r e G r i d V i e w S t a t e I D i a g r a m L i n k E n d p o i n t " / > < / a : K e y V a l u e O f D i a g r a m O b j e c t K e y a n y T y p e z b w N T n L X > < a : K e y V a l u e O f D i a g r a m O b j e c t K e y a n y T y p e z b w N T n L X > < a : K e y > < K e y > L i n k s \ & l t ; C o l u m n s \ A v e r a g e   o f   G A   b e d   o c c u p a n c y & g t ; - & l t ; M e a s u r e s \ G A   b e d   o c c u p a n c y & g t ; < / K e y > < / a : K e y > < a : V a l u e   i : t y p e = " M e a s u r e G r i d V i e w S t a t e I D i a g r a m L i n k " / > < / a : K e y V a l u e O f D i a g r a m O b j e c t K e y a n y T y p e z b w N T n L X > < a : K e y V a l u e O f D i a g r a m O b j e c t K e y a n y T y p e z b w N T n L X > < a : K e y > < K e y > L i n k s \ & l t ; C o l u m n s \ A v e r a g e   o f   G A   b e d   o c c u p a n c y & g t ; - & l t ; M e a s u r e s \ G A   b e d   o c c u p a n c y & g t ; \ C O L U M N < / K e y > < / a : K e y > < a : V a l u e   i : t y p e = " M e a s u r e G r i d V i e w S t a t e I D i a g r a m L i n k E n d p o i n t " / > < / a : K e y V a l u e O f D i a g r a m O b j e c t K e y a n y T y p e z b w N T n L X > < a : K e y V a l u e O f D i a g r a m O b j e c t K e y a n y T y p e z b w N T n L X > < a : K e y > < K e y > L i n k s \ & l t ; C o l u m n s \ A v e r a g e   o f   G A   b e d   o c c u p a n c y & g t ; - & l t ; M e a s u r e s \ G A   b e d   o c c u p a n c y & g t ; \ M E A S U R E < / K e y > < / a : K e y > < a : V a l u e   i : t y p e = " M e a s u r e G r i d V i e w S t a t e I D i a g r a m L i n k E n d p o i n t " / > < / a : K e y V a l u e O f D i a g r a m O b j e c t K e y a n y T y p e z b w N T n L X > < a : K e y V a l u e O f D i a g r a m O b j e c t K e y a n y T y p e z b w N T n L X > < a : K e y > < K e y > L i n k s \ & l t ; C o l u m n s \ S u m   o f   G A   c o r e   b e d s   a v a i l & g t ; - & l t ; M e a s u r e s \ G A   c o r e   b e d s   a v a i l & g t ; < / K e y > < / a : K e y > < a : V a l u e   i : t y p e = " M e a s u r e G r i d V i e w S t a t e I D i a g r a m L i n k " / > < / a : K e y V a l u e O f D i a g r a m O b j e c t K e y a n y T y p e z b w N T n L X > < a : K e y V a l u e O f D i a g r a m O b j e c t K e y a n y T y p e z b w N T n L X > < a : K e y > < K e y > L i n k s \ & l t ; C o l u m n s \ S u m   o f   G A   c o r e   b e d s   a v a i l & g t ; - & l t ; M e a s u r e s \ G A   c o r e   b e d s   a v a i l & g t ; \ C O L U M N < / K e y > < / a : K e y > < a : V a l u e   i : t y p e = " M e a s u r e G r i d V i e w S t a t e I D i a g r a m L i n k E n d p o i n t " / > < / a : K e y V a l u e O f D i a g r a m O b j e c t K e y a n y T y p e z b w N T n L X > < a : K e y V a l u e O f D i a g r a m O b j e c t K e y a n y T y p e z b w N T n L X > < a : K e y > < K e y > L i n k s \ & l t ; C o l u m n s \ S u m   o f   G A   c o r e   b e d s   a v a i l & g t ; - & l t ; M e a s u r e s \ G A   c o r e   b e d s   a v a i l & g t ; \ M E A S U R E < / K e y > < / a : K e y > < a : V a l u e   i : t y p e = " M e a s u r e G r i d V i e w S t a t e I D i a g r a m L i n k E n d p o i n t " / > < / a : K e y V a l u e O f D i a g r a m O b j e c t K e y a n y T y p e z b w N T n L X > < a : K e y V a l u e O f D i a g r a m O b j e c t K e y a n y T y p e z b w N T n L X > < a : K e y > < K e y > L i n k s \ & l t ; C o l u m n s \ S u m   o f   G A   e s c a l a t i o n   b e d s   a v a i l & g t ; - & l t ; M e a s u r e s \ G A   e s c a l a t i o n   b e d s   a v a i l & g t ; < / K e y > < / a : K e y > < a : V a l u e   i : t y p e = " M e a s u r e G r i d V i e w S t a t e I D i a g r a m L i n k " / > < / a : K e y V a l u e O f D i a g r a m O b j e c t K e y a n y T y p e z b w N T n L X > < a : K e y V a l u e O f D i a g r a m O b j e c t K e y a n y T y p e z b w N T n L X > < a : K e y > < K e y > L i n k s \ & l t ; C o l u m n s \ S u m   o f   G A   e s c a l a t i o n   b e d s   a v a i l & g t ; - & l t ; M e a s u r e s \ G A   e s c a l a t i o n   b e d s   a v a i l & g t ; \ C O L U M N < / K e y > < / a : K e y > < a : V a l u e   i : t y p e = " M e a s u r e G r i d V i e w S t a t e I D i a g r a m L i n k E n d p o i n t " / > < / a : K e y V a l u e O f D i a g r a m O b j e c t K e y a n y T y p e z b w N T n L X > < a : K e y V a l u e O f D i a g r a m O b j e c t K e y a n y T y p e z b w N T n L X > < a : K e y > < K e y > L i n k s \ & l t ; C o l u m n s \ S u m   o f   G A   e s c a l a t i o n   b e d s   a v a i l & g t ; - & l t ; M e a s u r e s \ G A   e s c a l a t i o n   b e d s   a v a i l & g t ; \ M E A S U R E < / K e y > < / a : K e y > < a : V a l u e   i : t y p e = " M e a s u r e G r i d V i e w S t a t e I D i a g r a m L i n k E n d p o i n t " / > < / a : K e y V a l u e O f D i a g r a m O b j e c t K e y a n y T y p e z b w N T n L X > < a : K e y V a l u e O f D i a g r a m O b j e c t K e y a n y T y p e z b w N T n L X > < a : K e y > < K e y > L i n k s \ & l t ; C o l u m n s \ S u m   o f   B e d s   o c c   o v e r   1 4   d a y s   2 & g t ; - & l t ; M e a s u r e s \ B e d s   o c c   o v e r   1 4   d a y s & g t ; < / K e y > < / a : K e y > < a : V a l u e   i : t y p e = " M e a s u r e G r i d V i e w S t a t e I D i a g r a m L i n k " / > < / a : K e y V a l u e O f D i a g r a m O b j e c t K e y a n y T y p e z b w N T n L X > < a : K e y V a l u e O f D i a g r a m O b j e c t K e y a n y T y p e z b w N T n L X > < a : K e y > < K e y > L i n k s \ & l t ; C o l u m n s \ S u m   o f   B e d s   o c c   o v e r   1 4   d a y s   2 & g t ; - & l t ; M e a s u r e s \ B e d s   o c c   o v e r   1 4   d a y s & g t ; \ C O L U M N < / K e y > < / a : K e y > < a : V a l u e   i : t y p e = " M e a s u r e G r i d V i e w S t a t e I D i a g r a m L i n k E n d p o i n t " / > < / a : K e y V a l u e O f D i a g r a m O b j e c t K e y a n y T y p e z b w N T n L X > < a : K e y V a l u e O f D i a g r a m O b j e c t K e y a n y T y p e z b w N T n L X > < a : K e y > < K e y > L i n k s \ & l t ; C o l u m n s \ S u m   o f   B e d s   o c c   o v e r   1 4   d a y s   2 & g t ; - & l t ; M e a s u r e s \ B e d s   o c c   o v e r   1 4   d a y s & g t ; \ M E A S U R E < / K e y > < / a : K e y > < a : V a l u e   i : t y p e = " M e a s u r e G r i d V i e w S t a t e I D i a g r a m L i n k E n d p o i n t " / > < / a : K e y V a l u e O f D i a g r a m O b j e c t K e y a n y T y p e z b w N T n L X > < / V i e w S t a t e s > < / D i a g r a m M a n a g e r . S e r i a l i z a b l e D i a g r a m > < / A r r a y O f D i a g r a m M a n a g e r . S e r i a l i z a b l e D i a g r a m > ] ] > < / C u s t o m C o n t e n t > < / G e m i n i > 
</file>

<file path=customXml/item61.xml>��< ? x m l   v e r s i o n = " 1 . 0 "   e n c o d i n g = " U T F - 1 6 " ? > < G e m i n i   x m l n s = " h t t p : / / g e m i n i / p i v o t c u s t o m i z a t i o n / 1 6 4 e a 2 6 9 - 9 2 f e - 4 9 b 9 - 9 6 4 6 - b a a b 7 f 3 a 2 0 5 0 " > < C u s t o m C o n t e n t > < ! [ C D A T A [ < ? x m l   v e r s i o n = " 1 . 0 "   e n c o d i n g = " u t f - 1 6 " ? > < S e t t i n g s > < C a l c u l a t e d F i e l d s > < i t e m > < M e a s u r e N a m e > S u m   o f   A m b   a r r i v a l s < / M e a s u r e N a m e > < D i s p l a y N a m e > S u m   o f   A m b   a r r i v a l s < / D i s p l a y N a m e > < V i s i b l e > T r u e < / V i s i b l e > < / i t e m > < / C a l c u l a t e d F i e l d s > < S A H o s t H a s h > 0 < / S A H o s t H a s h > < G e m i n i F i e l d L i s t V i s i b l e > T r u e < / G e m i n i F i e l d L i s t V i s i b l e > < / S e t t i n g s > ] ] > < / C u s t o m C o n t e n t > < / G e m i n i > 
</file>

<file path=customXml/item62.xml>��< ? x m l   v e r s i o n = " 1 . 0 "   e n c o d i n g = " U T F - 1 6 " ? > < G e m i n i   x m l n s = " h t t p : / / g e m i n i / p i v o t c u s t o m i z a t i o n / f 6 e 7 f 0 b 5 - 4 e d 5 - 4 f b a - b a c 3 - 7 0 9 7 d 7 9 e 8 5 4 c " > < 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 L o n g   s t a y < / S l i c e r S h e e t N a m e > < S A H o s t H a s h > 8 6 2 3 2 1 2 0 5 < / S A H o s t H a s h > < G e m i n i F i e l d L i s t V i s i b l e > T r u e < / G e m i n i F i e l d L i s t V i s i b l e > < / S e t t i n g s > ] ] > < / C u s t o m C o n t e n t > < / G e m i n i > 
</file>

<file path=customXml/item63.xml>��< ? x m l   v e r s i o n = " 1 . 0 "   e n c o d i n g = " U T F - 1 6 " ? > < G e m i n i   x m l n s = " h t t p : / / g e m i n i / p i v o t c u s t o m i z a t i o n / e 0 e c 1 1 d e - 9 8 1 b - 4 0 5 2 - a 8 f e - 1 e 8 c d 4 4 2 a a d e " > < 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S A H o s t H a s h > 0 < / S A H o s t H a s h > < G e m i n i F i e l d L i s t V i s i b l e > T r u e < / G e m i n i F i e l d L i s t V i s i b l e > < / S e t t i n g s > ] ] > < / C u s t o m C o n t e n t > < / G e m i n i > 
</file>

<file path=customXml/item64.xml>��< ? x m l   v e r s i o n = " 1 . 0 "   e n c o d i n g = " U T F - 1 6 " ? > < G e m i n i   x m l n s = " h t t p : / / g e m i n i / p i v o t c u s t o m i z a t i o n / L i n k e d T a b l e U p d a t e M o d e " > < C u s t o m C o n t e n t > < ! [ C D A T A [ T r u e ] ] > < / C u s t o m C o n t e n t > < / G e m i n i > 
</file>

<file path=customXml/item65.xml>��< ? x m l   v e r s i o n = " 1 . 0 "   e n c o d i n g = " U T F - 1 6 " ? > < G e m i n i   x m l n s = " h t t p : / / g e m i n i / p i v o t c u s t o m i z a t i o n / c 1 f a 9 d 3 7 - c a f a - 4 c 6 c - b d 2 9 - 4 5 5 c c 7 c e a 9 b 3 " > < 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S A H o s t H a s h > 0 < / S A H o s t H a s h > < G e m i n i F i e l d L i s t V i s i b l e > T r u e < / G e m i n i F i e l d L i s t V i s i b l e > < / S e t t i n g s > ] ] > < / C u s t o m C o n t e n t > < / G e m i n i > 
</file>

<file path=customXml/item66.xml>��< ? x m l   v e r s i o n = " 1 . 0 "   e n c o d i n g = " U T F - 1 6 " ? > < G e m i n i   x m l n s = " h t t p : / / g e m i n i / p i v o t c u s t o m i z a t i o n / 6 1 a c 6 1 5 e - 4 0 0 2 - 4 6 a 2 - a f d 6 - 5 6 0 1 e 0 5 c 1 0 5 7 " > < 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S A H o s t H a s h > 0 < / S A H o s t H a s h > < G e m i n i F i e l d L i s t V i s i b l e > T r u e < / G e m i n i F i e l d L i s t V i s i b l e > < / S e t t i n g s > ] ] > < / C u s t o m C o n t e n t > < / G e m i n i > 
</file>

<file path=customXml/item67.xml>��< ? x m l   v e r s i o n = " 1 . 0 "   e n c o d i n g = " U T F - 1 6 " ? > < G e m i n i   x m l n s = " h t t p : / / g e m i n i / p i v o t c u s t o m i z a t i o n / 6 8 c e 7 b b 5 - b 9 a 1 - 4 6 1 8 - b 6 f 2 - 2 5 0 7 f 2 2 3 e 5 3 3 " > < C u s t o m C o n t e n t > < ! [ C D A T A [ < ? x m l   v e r s i o n = " 1 . 0 "   e n c o d i n g = " u t f - 1 6 " ? > < S e t t i n g s > < C a l c u l a t e d F i e l d s > < i t e m > < M e a s u r e N a m e > S u m   o f   B e d s   o c c   o v e r   7   d a y s < / M e a s u r e N a m e > < D i s p l a y N a m e > S u m   o f   B e d s   o c c   o v e r   7   d a y s < / D i s p l a y N a m e > < V i s i b l e > T r u e < / V i s i b l e > < / i t e m > < / C a l c u l a t e d F i e l d s > < H S l i c e r s S h a p e > 0 ; 0 ; 0 ; 0 < / H S l i c e r s S h a p e > < V S l i c e r s S h a p e > 0 ; 0 ; 0 ; 0 < / V S l i c e r s S h a p e > < S l i c e r S h e e t N a m e > L o n g   s t a y < / S l i c e r S h e e t N a m e > < S A H o s t H a s h > 8 6 2 3 2 1 2 0 5 < / S A H o s t H a s h > < G e m i n i F i e l d L i s t V i s i b l e > F a l s e < / G e m i n i F i e l d L i s t V i s i b l e > < / S e t t i n g s > ] ] > < / C u s t o m C o n t e n t > < / G e m i n i > 
</file>

<file path=customXml/item68.xml>��< ? x m l   v e r s i o n = " 1 . 0 "   e n c o d i n g = " U T F - 1 6 " ? > < G e m i n i   x m l n s = " h t t p : / / g e m i n i / p i v o t c u s t o m i z a t i o n / S h o w H i d d e n " > < C u s t o m C o n t e n t > < ! [ C D A T A [ T r u e ] ] > < / C u s t o m C o n t e n t > < / G e m i n i > 
</file>

<file path=customXml/item69.xml>��< ? x m l   v e r s i o n = " 1 . 0 "   e n c o d i n g = " U T F - 1 6 " ? > < G e m i n i   x m l n s = " h t t p : / / g e m i n i / p i v o t c u s t o m i z a t i o n / T a b l e X M L _ T a b l e " > < C u s t o m C o n t e n t > < ! [ C D A T A [ < T a b l e W i d g e t G r i d S e r i a l i z a t i o n   x m l n s : x s i = " h t t p : / / w w w . w 3 . o r g / 2 0 0 1 / X M L S c h e m a - i n s t a n c e "   x m l n s : x s d = " h t t p : / / w w w . w 3 . o r g / 2 0 0 1 / X M L S c h e m a " > < C o l u m n S u g g e s t e d T y p e > < i t e m > < k e y > < s t r i n g > 1 9 4 < / s t r i n g > < / k e y > < v a l u e > < s t r i n g > B i g I n t < / s t r i n g > < / v a l u e > < / i t e m > < / C o l u m n S u g g e s t e d T y p e > < C o l u m n F o r m a t   / > < C o l u m n A c c u r a c y   / > < C o l u m n C u r r e n c y S y m b o l   / > < C o l u m n P o s i t i v e P a t t e r n   / > < C o l u m n N e g a t i v e P a t t e r n   / > < C o l u m n W i d t h s > < i t e m > < k e y > < s t r i n g > 1 9 4 < / s t r i n g > < / k e y > < v a l u e > < i n t > - 1 < / i n t > < / v a l u e > < / i t e m > < / C o l u m n W i d t h s > < C o l u m n D i s p l a y I n d e x   / > < C o l u m n F r o z e n   / > < C o l u m n C h e c k e d   / > < C o l u m n F i l t e r   / > < S e l e c t i o n F i l t e r   / > < F i l t e r P a r a m e t e r s   / > < I s S o r t D e s c e n d i n g > f a l s e < / I s S o r t D e s c e n d i n g > < / T a b l e W i d g e t G r i d S e r i a l i z a t i o n > ] ] > < / C u s t o m C o n t e n t > < / G e m i n i > 
</file>

<file path=customXml/item7.xml>��< ? x m l   v e r s i o n = " 1 . 0 "   e n c o d i n g = " U T F - 1 6 " ? > < G e m i n i   x m l n s = " h t t p : / / g e m i n i / p i v o t c u s t o m i z a t i o n / 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 A 3 1 B 8 E 1 6 2 6 1 A 4 E 7 9 9 9 F E < / I D > < N a m e > M i c r o s o f t _ S Q L S e r v e r _ A n a l y s i s S e r v i c e s < / N a m e > < A n n o t a t i o n s > < A n n o t a t i o n > < N a m e > S a n d b o x V e r s i o n < / N a m e > < V a l u e > S Q L 1 1 _ D e n a l i < / V a l u e > < / A n n o t a t i o n > < / A n n o t a t i o n s > < d d l 2 0 0 : C o m p a t i b i l i t y L e v e l > 1 1 0 0 < / d d l 2 0 0 : C o m p a t i b i l i t y L e v e l > < d d l 2 0 0 _ 2 0 0 : S t o r a g e E n g i n e U s e d > I n M e m o r y < / d d l 2 0 0 _ 2 0 0 : S t o r a g e E n g i n e U s e d > < L a n g u a g e > 2 0 5 7 < / L a n g u a g e > < D a t a S o u r c e I m p e r s o n a t i o n I n f o > < I m p e r s o n a t i o n M o d e > D e f a u l t < / I m p e r s o n a t i o n M o d e > < / D a t a S o u r c e I m p e r s o n a t i o n I n f o > < D i m e n s i o n s > < D i m e n s i o n > < I D > W i n t e r   d a i l y   s i t r e p s _ 1 d f 8 1 2 b b - 9 f c 3 - 4 6 7 4 - 8 d 4 1 - 6 0 c 6 7 2 6 a 8 e f 3 < / I D > < N a m e > W i n t e r   d a i l y   s i t r e p s < / 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  / & g t ;  
     & l t ; C o l u m n A c c u r a c y   / & g t ;  
     & l t ; C o l u m n C u r r e n c y S y m b o l   / & g t ;  
     & l t ; C o l u m n P o s i t i v e P a t t e r n   / & g t ;  
     & l t ; C o l u m n N e g a t i v e P a t t e r n   / & g t ;  
     & l t ; C o l u m n W i d t h s & g t ;  
         & l t ; i t e m & g t ;  
             & l t ; k e y & g t ;  
                 & l t ; s t r i n g & g t ; I D & l t ; / s t r i n g & g t ;  
             & l t ; / k e y & g t ;  
             & l t ; v a l u e & g t ;  
                 & l t ; i n t & g t ; 7 2 & l t ; / i n t & g t ;  
             & l t ; / v a l u e & g t ;  
         & l t ; / i t e m & g t ;  
         & l t ; i t e m & g t ;  
             & l t ; k e y & g t ;  
                 & l t ; s t r i n g & g t ; c r i _ i d & l t ; / s t r i n g & g t ;  
             & l t ; / k e y & g t ;  
             & l t ; v a l u e & g t ;  
                 & l t ; i n t & g t ; 9 3 & l t ; / i n t & g t ;  
             & l t ; / v a l u e & g t ;  
         & l t ; / i t e m & g t ;  
         & l t ; i t e m & g t ;  
             & l t ; k e y & g t ;  
                 & l t ; s t r i n g & g t ; d r _ i d & l t ; / s t r i n g & g t ;  
             & l t ; / k e y & g t ;  
             & l t ; v a l u e & g t ;  
                 & l t ; i n t & g t ; 9 1 & l t ; / i n t & g t ;  
             & l t ; / v a l u e & g t ;  
         & l t ; / i t e m & g t ;  
         & l t ; i t e m & g t ;  
             & l t ; k e y & g t ;  
                 & l t ; s t r i n g & g t ; o r g _ i d & l t ; / s t r i n g & g t ;  
             & l t ; / k e y & g t ;  
             & l t ; v a l u e & g t ;  
                 & l t ; i n t & g t ; 9 8 & l t ; / i n t & g t ;  
             & l t ; / v a l u e & g t ;  
         & l t ; / i t e m & g t ;  
         & l t ; i t e m & g t ;  
             & l t ; k e y & g t ;  
                 & l t ; s t r i n g & g t ; c r i _ d a t a p e r i o d s t a r t & l t ; / s t r i n g & g t ;  
             & l t ; / k e y & g t ;  
             & l t ; v a l u e & g t ;  
                 & l t ; i n t & g t ; 1 7 7 & l t ; / i n t & g t ;  
             & l t ; / v a l u e & g t ;  
         & l t ; / i t e m & g t ;  
         & l t ; i t e m & g t ;  
             & l t ; k e y & g t ;  
                 & l t ; s t r i n g & g t ; C o d e & l t ; / s t r i n g & g t ;  
             & l t ; / k e y & g t ;  
             & l t ; v a l u e & g t ;  
                 & l t ; i n t & g t ; 9 1 & l t ; / i n t & g t ;  
             & l t ; / v a l u e & g t ;  
         & l t ; / i t e m & g t ;  
         & l t ; i t e m & g t ;  
             & l t ; k e y & g t ;  
                 & l t ; s t r i n g & g t ; N a m e & l t ; / s t r i n g & g t ;  
             & l t ; / k e y & g t ;  
             & l t ; v a l u e & g t ;  
                 & l t ; i n t & g t ; 9 6 & l t ; / i n t & g t ;  
             & l t ; / v a l u e & g t ;  
         & l t ; / i t e m & g t ;  
         & l t ; i t e m & g t ;  
             & l t ; k e y & g t ;  
                 & l t ; s t r i n g & g t ; D a t e & l t ; / s t r i n g & g t ;  
             & l t ; / k e y & g t ;  
             & l t ; v a l u e & g t ;  
                 & l t ; i n t & g t ; 8 8 & l t ; / i n t & g t ;  
             & l t ; / v a l u e & g t ;  
         & l t ; / i t e m & g t ;  
         & l t ; i t e m & g t ;  
             & l t ; k e y & g t ;  
                 & l t ; s t r i n g & g t ; W e e k & l t ; / s t r i n g & g t ;  
             & l t ; / k e y & g t ;  
             & l t ; v a l u e & g t ;  
                 & l t ; i n t & g t ; 9 4 & l t ; / i n t & g t ;  
             & l t ; / v a l u e & g t ;  
         & l t ; / i t e m & g t ;  
         & l t ; i t e m & g t ;  
             & l t ; k e y & g t ;  
                 & l t ; s t r i n g & g t ; D a y & l t ; / s t r i n g & g t ;  
             & l t ; / k e y & g t ;  
             & l t ; v a l u e & g t ;  
                 & l t ; i n t & g t ; 8 2 & l t ; / i n t & g t ;  
             & l t ; / v a l u e & g t ;  
         & l t ; / i t e m & g t ;  
         & l t ; i t e m & g t ;  
             & l t ; k e y & g t ;  
                 & l t ; s t r i n g & g t ; B a n k   h o l i d a y & l t ; / s t r i n g & g t ;  
             & l t ; / k e y & g t ;  
             & l t ; v a l u e & g t ;  
                 & l t ; i n t & g t ; 1 3 8 & l t ; / i n t & g t ;  
             & l t ; / v a l u e & g t ;  
         & l t ; / i t e m & g t ;  
         & l t ; i t e m & g t ;  
             & l t ; k e y & g t ;  
                 & l t ; s t r i n g & g t ; A & a m p ; a m p ; E   c l o s u r e s & l t ; / s t r i n g & g t ;  
             & l t ; / k e y & g t ;  
             & l t ; v a l u e & g t ;  
                 & l t ; i n t & g t ; 1 3 9 & l t ; / i n t & g t ;  
             & l t ; / v a l u e & g t ;  
         & l t ; / i t e m & g t ;  
         & l t ; i t e m & g t ;  
             & l t ; k e y & g t ;  
                 & l t ; s t r i n g & g t ; A & a m p ; a m p ; E   d i v e r t s & l t ; / s t r i n g & g t ;  
             & l t ; / k e y & g t ;  
             & l t ; v a l u e & g t ;  
                 & l t ; i n t & g t ; 1 3 1 & l t ; / i n t & g t ;  
             & l t ; / v a l u e & g t ;  
         & l t ; / i t e m & g t ;  
         & l t ; i t e m & g t ;  
             & l t ; k e y & g t ;  
                 & l t ; s t r i n g & g t ; A & a m p ; a m p ; E   t y p e   1   a t t e n d a n c e s & l t ; / s t r i n g & g t ;  
             & l t ; / k e y & g t ;  
             & l t ; v a l u e & g t ;  
                 & l t ; i n t & g t ; 2 0 5 & l t ; / i n t & g t ;  
             & l t ; / v a l u e & g t ;  
         & l t ; / i t e m & g t ;  
         & l t ; i t e m & g t ;  
             & l t ; k e y & g t ;  
                 & l t ; s t r i n g & g t ; A & a m p ; a m p ; E   t y p e   2   a t t e n d a n c e s & l t ; / s t r i n g & g t ;  
             & l t ; / k e y & g t ;  
             & l t ; v a l u e & g t ;  
                 & l t ; i n t & g t ; 2 0 5 & l t ; / i n t & g t ;  
             & l t ; / v a l u e & g t ;  
         & l t ; / i t e m & g t ;  
         & l t ; i t e m & g t ;  
             & l t ; k e y & g t ;  
                 & l t ; s t r i n g & g t ; A & a m p ; a m p ; E   t y p e   3   a t t e n d a n c e s & l t ; / s t r i n g & g t ;  
             & l t ; / k e y & g t ;  
             & l t ; v a l u e & g t ;  
                 & l t ; i n t & g t ; 2 0 5 & l t ; / i n t & g t ;  
             & l t ; / v a l u e & g t ;  
         & l t ; / i t e m & g t ;  
         & l t ; i t e m & g t ;  
             & l t ; k e y & g t ;  
                 & l t ; s t r i n g & g t ; A & a m p ; a m p ; E   t o t a l   a t t e n d a n c e s & l t ; / s t r i n g & g t ;  
             & l t ; / k e y & g t ;  
             & l t ; v a l u e & g t ;  
                 & l t ; i n t & g t ; 1 9 6 & l t ; / i n t & g t ;  
             & l t ; / v a l u e & g t ;  
         & l t ; / i t e m & g t ;  
         & l t ; i t e m & g t ;  
             & l t ; k e y & g t ;  
                 & l t ; s t r i n g & g t ; E m e r g e n c y   a d m i s s i o n s & l t ; / s t r i n g & g t ;  
             & l t ; / k e y & g t ;  
             & l t ; v a l u e & g t ;  
                 & l t ; i n t & g t ; 1 9 9 & l t ; / i n t & g t ;  
             & l t ; / v a l u e & g t ;  
         & l t ; / i t e m & g t ;  
         & l t ; i t e m & g t ;  
             & l t ; k e y & g t ;  
                 & l t ; s t r i n g & g t ; G & a m p ; a m p ; A   c o r e   b e d s   a v a i l & l t ; / s t r i n g & g t ;  
             & l t ; / k e y & g t ;  
             & l t ; v a l u e & g t ;  
                 & l t ; i n t & g t ; 1 8 2 & l t ; / i n t & g t ;  
             & l t ; / v a l u e & g t ;  
         & l t ; / i t e m & g t ;  
         & l t ; i t e m & g t ;  
             & l t ; k e y & g t ;  
                 & l t ; s t r i n g & g t ; G & a m p ; a m p ; A   e s c a l a t i o n   b e d s   a v a i l & l t ; / s t r i n g & g t ;  
             & l t ; / k e y & g t ;  
             & l t ; v a l u e & g t ;  
                 & l t ; i n t & g t ; 2 1 7 & l t ; / i n t & g t ;  
             & l t ; / v a l u e & g t ;  
         & l t ; / i t e m & g t ;  
         & l t ; i t e m & g t ;  
             & l t ; k e y & g t ;  
                 & l t ; s t r i n g & g t ; G & a m p ; a m p ; A   t o t a l   b e d s   a v a i l & l t ; / s t r i n g & g t ;  
             & l t ; / k e y & g t ;  
             & l t ; v a l u e & g t ;  
                 & l t ; i n t & g t ; 1 8 4 & l t ; / i n t & g t ;  
             & l t ; / v a l u e & g t ;  
         & l t ; / i t e m & g t ;  
         & l t ; i t e m & g t ;  
             & l t ; k e y & g t ;  
                 & l t ; s t r i n g & g t ; G & a m p ; a m p ; A   t o t a l   b e d s   o c c u p i e d & l t ; / s t r i n g & g t ;  
             & l t ; / k e y & g t ;  
             & l t ; v a l u e & g t ;  
                 & l t ; i n t & g t ; 2 1 1 & l t ; / i n t & g t ;  
             & l t ; / v a l u e & g t ;  
         & l t ; / i t e m & g t ;  
         & l t ; i t e m & g t ;  
             & l t ; k e y & g t ;  
                 & l t ; s t r i n g & g t ; B e d s   c l o s e d   n o r o v i r u s & l t ; / s t r i n g & g t ;  
             & l t ; / k e y & g t ;  
             & l t ; v a l u e & g t ;  
                 & l t ; i n t & g t ; 1 9 4 & l t ; / i n t & g t ;  
             & l t ; / v a l u e & g t ;  
         & l t ; / i t e m & g t ;  
         & l t ; i t e m & g t ;  
             & l t ; k e y & g t ;  
                 & l t ; s t r i n g & g t ; B e d s   c l o s e d   n o r o v i u s   u n o c c & l t ; / s t r i n g & g t ;  
             & l t ; / k e y & g t ;  
             & l t ; v a l u e & g t ;  
                 & l t ; i n t & g t ; 2 2 8 & l t ; / i n t & g t ;  
             & l t ; / v a l u e & g t ;  
         & l t ; / i t e m & g t ;  
         & l t ; i t e m & g t ;  
             & l t ; k e y & g t ;  
                 & l t ; s t r i n g & g t ; A d u l t   C C   b e d s   a v a i l & l t ; / s t r i n g & g t ;  
             & l t ; / k e y & g t ;  
             & l t ; v a l u e & g t ;  
                 & l t ; i n t & g t ; 1 7 7 & l t ; / i n t & g t ;  
             & l t ; / v a l u e & g t ;  
         & l t ; / i t e m & g t ;  
         & l t ; i t e m & g t ;  
             & l t ; k e y & g t ;  
                 & l t ; s t r i n g & g t ; A d u l t   C C   b e d s   o c c & l t ; / s t r i n g & g t ;  
             & l t ; / k e y & g t ;  
             & l t ; v a l u e & g t ;  
                 & l t ; i n t & g t ; 1 6 8 & l t ; / i n t & g t ;  
             & l t ; / v a l u e & g t ;  
         & l t ; / i t e m & g t ;  
         & l t ; i t e m & g t ;  
             & l t ; k e y & g t ;  
                 & l t ; s t r i n g & g t ; P a e d   I n t   C a r e   A v a i l & l t ; / s t r i n g & g t ;  
             & l t ; / k e y & g t ;  
             & l t ; v a l u e & g t ;  
                 & l t ; i n t & g t ; 1 7 5 & l t ; / i n t & g t ;  
             & l t ; / v a l u e & g t ;  
         & l t ; / i t e m & g t ;  
         & l t ; i t e m & g t ;  
             & l t ; k e y & g t ;  
                 & l t ; s t r i n g & g t ; P a e d   I n t   C a r e   O c c & l t ; / s t r i n g & g t ;  
             & l t ; / k e y & g t ;  
             & l t ; v a l u e & g t ;  
                 & l t ; i n t & g t ; 1 6 6 & l t ; / i n t & g t ;  
             & l t ; / v a l u e & g t ;  
         & l t ; / i t e m & g t ;  
         & l t ; i t e m & g t ;  
             & l t ; k e y & g t ;  
                 & l t ; s t r i n g & g t ; N e o   I n t   C a r e   A v a i l & l t ; / s t r i n g & g t ;  
             & l t ; / k e y & g t ;  
             & l t ; v a l u e & g t ;  
                 & l t ; i n t & g t ; 1 7 0 & l t ; / i n t & g t ;  
             & l t ; / v a l u e & g t ;  
         & l t ; / i t e m & g t ;  
         & l t ; i t e m & g t ;  
             & l t ; k e y & g t ;  
                 & l t ; s t r i n g & g t ; N e o   I n t   C a r e   o c c & l t ; / s t r i n g & g t ;  
             & l t ; / k e y & g t ;  
             & l t ; v a l u e & g t ;  
                 & l t ; i n t & g t ; 1 5 9 & l t ; / i n t & g t ;  
             & l t ; / v a l u e & g t ;  
         & l t ; / i t e m & g t ;  
         & l t ; i t e m & g t ;  
             & l t ; k e y & g t ;  
                 & l t ; s t r i n g & g t ; O P E L   3   o r   a b o v e & l t ; / s t r i n g & g t ;  
             & l t ; / k e y & g t ;  
             & l t ; v a l u e & g t ;  
                 & l t ; i n t & g t ; 1 5 7 & l t ; / i n t & g t ;  
             & l t ; / v a l u e & g t ;  
         & l t ; / i t e m & g t ;  
         & l t ; i t e m & g t ;  
             & l t ; k e y & g t ;  
                 & l t ; s t r i n g & g t ; W e e k e n d & l t ; / s t r i n g & g t ;  
             & l t ; / k e y & g t ;  
             & l t ; v a l u e & g t ;  
                 & l t ; i n t & g t ; 1 1 8 & l t ; / i n t & g t ;  
             & l t ; / v a l u e & g t ;  
         & l t ; / i t e m & g t ;  
         & l t ; i t e m & g t ;  
             & l t ; k e y & g t ;  
                 & l t ; s t r i n g & g t ; R e g i o n & l t ; / s t r i n g & g t ;  
             & l t ; / k e y & g t ;  
             & l t ; v a l u e & g t ;  
                 & l t ; i n t & g t ; 1 0 2 & l t ; / i n t & g t ;  
             & l t ; / v a l u e & g t ;  
         & l t ; / i t e m & g t ;  
         & l t ; i t e m & g t ;  
             & l t ; k e y & g t ;  
                 & l t ; s t r i n g & g t ; Y e a r & l t ; / s t r i n g & g t ;  
             & l t ; / k e y & g t ;  
             & l t ; v a l u e & g t ;  
                 & l t ; i n t & g t ; 8 5 & l t ; / i n t & g t ;  
             & l t ; / v a l u e & g t ;  
         & l t ; / i t e m & g t ;  
         & l t ; i t e m & g t ;  
             & l t ; k e y & g t ;  
                 & l t ; s t r i n g & g t ; B e d s   o c c   o v e r   7   d a y s & l t ; / s t r i n g & g t ;  
             & l t ; / k e y & g t ;  
             & l t ; v a l u e & g t ;  
                 & l t ; i n t & g t ; 1 8 4 & l t ; / i n t & g t ;  
             & l t ; / v a l u e & g t ;  
         & l t ; / i t e m & g t ;  
         & l t ; i t e m & g t ;  
             & l t ; k e y & g t ;  
                 & l t ; s t r i n g & g t ; B e d s   o c c   o v e r   2 1   d a y s & l t ; / s t r i n g & g t ;  
             & l t ; / k e y & g t ;  
             & l t ; v a l u e & g t ;  
                 & l t ; i n t & g t ; 1 9 1 & l t ; / i n t & g t ;  
             & l t ; / v a l u e & g t ;  
         & l t ; / i t e m & g t ;  
         & l t ; i t e m & g t ;  
             & l t ; k e y & g t ;  
                 & l t ; s t r i n g & g t ; A m b   a r r i v a l s & l t ; / s t r i n g & g t ;  
             & l t ; / k e y & g t ;  
             & l t ; v a l u e & g t ;  
                 & l t ; i n t & g t ; 1 3 6 & l t ; / i n t & g t ;  
             & l t ; / v a l u e & g t ;  
         & l t ; / i t e m & g t ;  
         & l t ; i t e m & g t ;  
             & l t ; k e y & g t ;  
                 & l t ; s t r i n g & g t ; A m b   d e l a y s   3 0 - 6 0   m i n s & l t ; / s t r i n g & g t ;  
             & l t ; / k e y & g t ;  
             & l t ; v a l u e & g t ;  
                 & l t ; i n t & g t ; 2 0 0 & l t ; / i n t & g t ;  
             & l t ; / v a l u e & g t ;  
         & l t ; / i t e m & g t ;  
         & l t ; i t e m & g t ;  
             & l t ; k e y & g t ;  
                 & l t ; s t r i n g & g t ; A m b   d e l a y s   o v e r   6 0   m i n s & l t ; / s t r i n g & g t ;  
             & l t ; / k e y & g t ;  
             & l t ; v a l u e & g t ;  
                 & l t ; i n t & g t ; 2 1 2 & l t ; / i n t & g t ;  
             & l t ; / v a l u e & g t ;  
         & l t ; / i t e m & g t ;  
         & l t ; i t e m & g t ;  
             & l t ; k e y & g t ;  
                 & l t ; s t r i n g & g t ; B e d s   o c c   o v e r   1 4   d a y s & l t ; / s t r i n g & g t ;  
             & l t ; / k e y & g t ;  
             & l t ; v a l u e & g t ;  
                 & l t ; i n t & g t ; 1 9 1 & l t ; / i n t & g t ;  
             & l t ; / v a l u e & g t ;  
         & l t ; / i t e m & g t ;  
     & l t ; / C o l u m n W i d t h s & g t ;  
     & l t ; C o l u m n D i s p l a y I n d e x & g t ;  
         & l t ; i t e m & g t ;  
             & l t ; k e y & g t ;  
                 & l t ; s t r i n g & g t ; I D & l t ; / s t r i n g & g t ;  
             & l t ; / k e y & g t ;  
             & l t ; v a l u e & g t ;  
                 & l t ; i n t & g t ; 0 & l t ; / i n t & g t ;  
             & l t ; / v a l u e & g t ;  
         & l t ; / i t e m & g t ;  
         & l t ; i t e m & g t ;  
             & l t ; k e y & g t ;  
                 & l t ; s t r i n g & g t ; c r i _ i d & l t ; / s t r i n g & g t ;  
             & l t ; / k e y & g t ;  
             & l t ; v a l u e & g t ;  
                 & l t ; i n t & g t ; 1 & l t ; / i n t & g t ;  
             & l t ; / v a l u e & g t ;  
         & l t ; / i t e m & g t ;  
         & l t ; i t e m & g t ;  
             & l t ; k e y & g t ;  
                 & l t ; s t r i n g & g t ; d r _ i d & l t ; / s t r i n g & g t ;  
             & l t ; / k e y & g t ;  
             & l t ; v a l u e & g t ;  
                 & l t ; i n t & g t ; 2 & l t ; / i n t & g t ;  
             & l t ; / v a l u e & g t ;  
         & l t ; / i t e m & g t ;  
         & l t ; i t e m & g t ;  
             & l t ; k e y & g t ;  
                 & l t ; s t r i n g & g t ; o r g _ i d & l t ; / s t r i n g & g t ;  
             & l t ; / k e y & g t ;  
             & l t ; v a l u e & g t ;  
                 & l t ; i n t & g t ; 3 & l t ; / i n t & g t ;  
             & l t ; / v a l u e & g t ;  
         & l t ; / i t e m & g t ;  
         & l t ; i t e m & g t ;  
             & l t ; k e y & g t ;  
                 & l t ; s t r i n g & g t ; c r i _ d a t a p e r i o d s t a r t & l t ; / s t r i n g & g t ;  
             & l t ; / k e y & g t ;  
             & l t ; v a l u e & g t ;  
                 & l t ; i n t & g t ; 4 & l t ; / i n t & g t ;  
             & l t ; / v a l u e & g t ;  
         & l t ; / i t e m & g t ;  
         & l t ; i t e m & g t ;  
             & l t ; k e y & g t ;  
                 & l t ; s t r i n g & g t ; C o d e & l t ; / s t r i n g & g t ;  
             & l t ; / k e y & g t ;  
             & l t ; v a l u e & g t ;  
                 & l t ; i n t & g t ; 5 & l t ; / i n t & g t ;  
             & l t ; / v a l u e & g t ;  
         & l t ; / i t e m & g t ;  
         & l t ; i t e m & g t ;  
             & l t ; k e y & g t ;  
                 & l t ; s t r i n g & g t ; N a m e & l t ; / s t r i n g & g t ;  
             & l t ; / k e y & g t ;  
             & l t ; v a l u e & g t ;  
                 & l t ; i n t & g t ; 6 & l t ; / i n t & g t ;  
             & l t ; / v a l u e & g t ;  
         & l t ; / i t e m & g t ;  
         & l t ; i t e m & g t ;  
             & l t ; k e y & g t ;  
                 & l t ; s t r i n g & g t ; D a t e & l t ; / s t r i n g & g t ;  
             & l t ; / k e y & g t ;  
             & l t ; v a l u e & g t ;  
                 & l t ; i n t & g t ; 7 & l t ; / i n t & g t ;  
             & l t ; / v a l u e & g t ;  
         & l t ; / i t e m & g t ;  
         & l t ; i t e m & g t ;  
             & l t ; k e y & g t ;  
                 & l t ; s t r i n g & g t ; W e e k & l t ; / s t r i n g & g t ;  
             & l t ; / k e y & g t ;  
             & l t ; v a l u e & g t ;  
                 & l t ; i n t & g t ; 8 & l t ; / i n t & g t ;  
             & l t ; / v a l u e & g t ;  
         & l t ; / i t e m & g t ;  
         & l t ; i t e m & g t ;  
             & l t ; k e y & g t ;  
                 & l t ; s t r i n g & g t ; D a y & l t ; / s t r i n g & g t ;  
             & l t ; / k e y & g t ;  
             & l t ; v a l u e & g t ;  
                 & l t ; i n t & g t ; 9 & l t ; / i n t & g t ;  
             & l t ; / v a l u e & g t ;  
         & l t ; / i t e m & g t ;  
         & l t ; i t e m & g t ;  
             & l t ; k e y & g t ;  
                 & l t ; s t r i n g & g t ; B a n k   h o l i d a y & l t ; / s t r i n g & g t ;  
             & l t ; / k e y & g t ;  
             & l t ; v a l u e & g t ;  
                 & l t ; i n t & g t ; 1 0 & l t ; / i n t & g t ;  
             & l t ; / v a l u e & g t ;  
         & l t ; / i t e m & g t ;  
         & l t ; i t e m & g t ;  
             & l t ; k e y & g t ;  
                 & l t ; s t r i n g & g t ; A & a m p ; a m p ; E   c l o s u r e s & l t ; / s t r i n g & g t ;  
             & l t ; / k e y & g t ;  
             & l t ; v a l u e & g t ;  
                 & l t ; i n t & g t ; 1 1 & l t ; / i n t & g t ;  
             & l t ; / v a l u e & g t ;  
         & l t ; / i t e m & g t ;  
         & l t ; i t e m & g t ;  
             & l t ; k e y & g t ;  
                 & l t ; s t r i n g & g t ; A & a m p ; a m p ; E   d i v e r t s & l t ; / s t r i n g & g t ;  
             & l t ; / k e y & g t ;  
             & l t ; v a l u e & g t ;  
                 & l t ; i n t & g t ; 1 2 & l t ; / i n t & g t ;  
             & l t ; / v a l u e & g t ;  
         & l t ; / i t e m & g t ;  
         & l t ; i t e m & g t ;  
             & l t ; k e y & g t ;  
                 & l t ; s t r i n g & g t ; A & a m p ; a m p ; E   t y p e   1   a t t e n d a n c e s & l t ; / s t r i n g & g t ;  
             & l t ; / k e y & g t ;  
             & l t ; v a l u e & g t ;  
                 & l t ; i n t & g t ; 1 3 & l t ; / i n t & g t ;  
             & l t ; / v a l u e & g t ;  
         & l t ; / i t e m & g t ;  
         & l t ; i t e m & g t ;  
             & l t ; k e y & g t ;  
                 & l t ; s t r i n g & g t ; A & a m p ; a m p ; E   t y p e   2   a t t e n d a n c e s & l t ; / s t r i n g & g t ;  
             & l t ; / k e y & g t ;  
             & l t ; v a l u e & g t ;  
                 & l t ; i n t & g t ; 1 4 & l t ; / i n t & g t ;  
             & l t ; / v a l u e & g t ;  
         & l t ; / i t e m & g t ;  
         & l t ; i t e m & g t ;  
             & l t ; k e y & g t ;  
                 & l t ; s t r i n g & g t ; A & a m p ; a m p ; E   t y p e   3   a t t e n d a n c e s & l t ; / s t r i n g & g t ;  
             & l t ; / k e y & g t ;  
             & l t ; v a l u e & g t ;  
                 & l t ; i n t & g t ; 1 5 & l t ; / i n t & g t ;  
             & l t ; / v a l u e & g t ;  
         & l t ; / i t e m & g t ;  
         & l t ; i t e m & g t ;  
             & l t ; k e y & g t ;  
                 & l t ; s t r i n g & g t ; A & a m p ; a m p ; E   t o t a l   a t t e n d a n c e s & l t ; / s t r i n g & g t ;  
             & l t ; / k e y & g t ;  
             & l t ; v a l u e & g t ;  
                 & l t ; i n t & g t ; 1 6 & l t ; / i n t & g t ;  
             & l t ; / v a l u e & g t ;  
         & l t ; / i t e m & g t ;  
         & l t ; i t e m & g t ;  
             & l t ; k e y & g t ;  
                 & l t ; s t r i n g & g t ; E m e r g e n c y   a d m i s s i o n s & l t ; / s t r i n g & g t ;  
             & l t ; / k e y & g t ;  
             & l t ; v a l u e & g t ;  
                 & l t ; i n t & g t ; 1 7 & l t ; / i n t & g t ;  
             & l t ; / v a l u e & g t ;  
         & l t ; / i t e m & g t ;  
         & l t ; i t e m & g t ;  
             & l t ; k e y & g t ;  
                 & l t ; s t r i n g & g t ; G & a m p ; a m p ; A   c o r e   b e d s   a v a i l & l t ; / s t r i n g & g t ;  
             & l t ; / k e y & g t ;  
             & l t ; v a l u e & g t ;  
                 & l t ; i n t & g t ; 1 8 & l t ; / i n t & g t ;  
             & l t ; / v a l u e & g t ;  
         & l t ; / i t e m & g t ;  
         & l t ; i t e m & g t ;  
             & l t ; k e y & g t ;  
                 & l t ; s t r i n g & g t ; G & a m p ; a m p ; A   e s c a l a t i o n   b e d s   a v a i l & l t ; / s t r i n g & g t ;  
             & l t ; / k e y & g t ;  
             & l t ; v a l u e & g t ;  
                 & l t ; i n t & g t ; 1 9 & l t ; / i n t & g t ;  
             & l t ; / v a l u e & g t ;  
         & l t ; / i t e m & g t ;  
         & l t ; i t e m & g t ;  
             & l t ; k e y & g t ;  
                 & l t ; s t r i n g & g t ; G & a m p ; a m p ; A   t o t a l   b e d s   a v a i l & l t ; / s t r i n g & g t ;  
             & l t ; / k e y & g t ;  
             & l t ; v a l u e & g t ;  
                 & l t ; i n t & g t ; 2 0 & l t ; / i n t & g t ;  
             & l t ; / v a l u e & g t ;  
         & l t ; / i t e m & g t ;  
         & l t ; i t e m & g t ;  
             & l t ; k e y & g t ;  
                 & l t ; s t r i n g & g t ; G & a m p ; a m p ; A   t o t a l   b e d s   o c c u p i e d & l t ; / s t r i n g & g t ;  
             & l t ; / k e y & g t ;  
             & l t ; v a l u e & g t ;  
                 & l t ; i n t & g t ; 2 1 & l t ; / i n t & g t ;  
             & l t ; / v a l u e & g t ;  
         & l t ; / i t e m & g t ;  
         & l t ; i t e m & g t ;  
             & l t ; k e y & g t ;  
                 & l t ; s t r i n g & g t ; B e d s   c l o s e d   n o r o v i r u s & l t ; / s t r i n g & g t ;  
             & l t ; / k e y & g t ;  
             & l t ; v a l u e & g t ;  
                 & l t ; i n t & g t ; 2 2 & l t ; / i n t & g t ;  
             & l t ; / v a l u e & g t ;  
         & l t ; / i t e m & g t ;  
         & l t ; i t e m & g t ;  
             & l t ; k e y & g t ;  
                 & l t ; s t r i n g & g t ; B e d s   c l o s e d   n o r o v i u s   u n o c c & l t ; / s t r i n g & g t ;  
             & l t ; / k e y & g t ;  
             & l t ; v a l u e & g t ;  
                 & l t ; i n t & g t ; 2 3 & l t ; / i n t & g t ;  
             & l t ; / v a l u e & g t ;  
         & l t ; / i t e m & g t ;  
         & l t ; i t e m & g t ;  
             & l t ; k e y & g t ;  
                 & l t ; s t r i n g & g t ; A d u l t   C C   b e d s   a v a i l & l t ; / s t r i n g & g t ;  
             & l t ; / k e y & g t ;  
             & l t ; v a l u e & g t ;  
                 & l t ; i n t & g t ; 2 4 & l t ; / i n t & g t ;  
             & l t ; / v a l u e & g t ;  
         & l t ; / i t e m & g t ;  
         & l t ; i t e m & g t ;  
             & l t ; k e y & g t ;  
                 & l t ; s t r i n g & g t ; A d u l t   C C   b e d s   o c c & l t ; / s t r i n g & g t ;  
             & l t ; / k e y & g t ;  
             & l t ; v a l u e & g t ;  
                 & l t ; i n t & g t ; 2 5 & l t ; / i n t & g t ;  
             & l t ; / v a l u e & g t ;  
         & l t ; / i t e m & g t ;  
         & l t ; i t e m & g t ;  
             & l t ; k e y & g t ;  
                 & l t ; s t r i n g & g t ; P a e d   I n t   C a r e   A v a i l & l t ; / s t r i n g & g t ;  
             & l t ; / k e y & g t ;  
             & l t ; v a l u e & g t ;  
                 & l t ; i n t & g t ; 2 6 & l t ; / i n t & g t ;  
             & l t ; / v a l u e & g t ;  
         & l t ; / i t e m & g t ;  
         & l t ; i t e m & g t ;  
             & l t ; k e y & g t ;  
                 & l t ; s t r i n g & g t ; P a e d   I n t   C a r e   O c c & l t ; / s t r i n g & g t ;  
             & l t ; / k e y & g t ;  
             & l t ; v a l u e & g t ;  
                 & l t ; i n t & g t ; 2 7 & l t ; / i n t & g t ;  
             & l t ; / v a l u e & g t ;  
         & l t ; / i t e m & g t ;  
         & l t ; i t e m & g t ;  
             & l t ; k e y & g t ;  
                 & l t ; s t r i n g & g t ; N e o   I n t   C a r e   A v a i l & l t ; / s t r i n g & g t ;  
             & l t ; / k e y & g t ;  
             & l t ; v a l u e & g t ;  
                 & l t ; i n t & g t ; 2 8 & l t ; / i n t & g t ;  
             & l t ; / v a l u e & g t ;  
         & l t ; / i t e m & g t ;  
         & l t ; i t e m & g t ;  
             & l t ; k e y & g t ;  
                 & l t ; s t r i n g & g t ; N e o   I n t   C a r e   o c c & l t ; / s t r i n g & g t ;  
             & l t ; / k e y & g t ;  
             & l t ; v a l u e & g t ;  
                 & l t ; i n t & g t ; 2 9 & l t ; / i n t & g t ;  
             & l t ; / v a l u e & g t ;  
         & l t ; / i t e m & g t ;  
         & l t ; i t e m & g t ;  
             & l t ; k e y & g t ;  
                 & l t ; s t r i n g & g t ; O P E L   3   o r   a b o v e & l t ; / s t r i n g & g t ;  
             & l t ; / k e y & g t ;  
             & l t ; v a l u e & g t ;  
                 & l t ; i n t & g t ; 3 0 & l t ; / i n t & g t ;  
             & l t ; / v a l u e & g t ;  
         & l t ; / i t e m & g t ;  
         & l t ; i t e m & g t ;  
             & l t ; k e y & g t ;  
                 & l t ; s t r i n g & g t ; W e e k e n d & l t ; / s t r i n g & g t ;  
             & l t ; / k e y & g t ;  
             & l t ; v a l u e & g t ;  
                 & l t ; i n t & g t ; 3 1 & l t ; / i n t & g t ;  
             & l t ; / v a l u e & g t ;  
         & l t ; / i t e m & g t ;  
         & l t ; i t e m & g t ;  
             & l t ; k e y & g t ;  
                 & l t ; s t r i n g & g t ; R e g i o n & l t ; / s t r i n g & g t ;  
             & l t ; / k e y & g t ;  
             & l t ; v a l u e & g t ;  
                 & l t ; i n t & g t ; 3 2 & l t ; / i n t & g t ;  
             & l t ; / v a l u e & g t ;  
         & l t ; / i t e m & g t ;  
         & l t ; i t e m & g t ;  
             & l t ; k e y & g t ;  
                 & l t ; s t r i n g & g t ; Y e a r & l t ; / s t r i n g & g t ;  
             & l t ; / k e y & g t ;  
             & l t ; v a l u e & g t ;  
                 & l t ; i n t & g t ; 3 3 & l t ; / i n t & g t ;  
             & l t ; / v a l u e & g t ;  
         & l t ; / i t e m & g t ;  
         & l t ; i t e m & g t ;  
             & l t ; k e y & g t ;  
                 & l t ; s t r i n g & g t ; B e d s   o c c   o v e r   7   d a y s & l t ; / s t r i n g & g t ;  
             & l t ; / k e y & g t ;  
             & l t ; v a l u e & g t ;  
                 & l t ; i n t & g t ; 3 4 & l t ; / i n t & g t ;  
             & l t ; / v a l u e & g t ;  
         & l t ; / i t e m & g t ;  
         & l t ; i t e m & g t ;  
             & l t ; k e y & g t ;  
                 & l t ; s t r i n g & g t ; B e d s   o c c   o v e r   2 1   d a y s & l t ; / s t r i n g & g t ;  
             & l t ; / k e y & g t ;  
             & l t ; v a l u e & g t ;  
                 & l t ; i n t & g t ; 3 5 & l t ; / i n t & g t ;  
             & l t ; / v a l u e & g t ;  
         & l t ; / i t e m & g t ;  
         & l t ; i t e m & g t ;  
             & l t ; k e y & g t ;  
                 & l t ; s t r i n g & g t ; A m b   a r r i v a l s & l t ; / s t r i n g & g t ;  
             & l t ; / k e y & g t ;  
             & l t ; v a l u e & g t ;  
                 & l t ; i n t & g t ; 3 6 & l t ; / i n t & g t ;  
             & l t ; / v a l u e & g t ;  
         & l t ; / i t e m & g t ;  
         & l t ; i t e m & g t ;  
             & l t ; k e y & g t ;  
                 & l t ; s t r i n g & g t ; A m b   d e l a y s   3 0 - 6 0   m i n s & l t ; / s t r i n g & g t ;  
             & l t ; / k e y & g t ;  
             & l t ; v a l u e & g t ;  
                 & l t ; i n t & g t ; 3 7 & l t ; / i n t & g t ;  
             & l t ; / v a l u e & g t ;  
         & l t ; / i t e m & g t ;  
         & l t ; i t e m & g t ;  
             & l t ; k e y & g t ;  
                 & l t ; s t r i n g & g t ; A m b   d e l a y s   o v e r   6 0   m i n s & l t ; / s t r i n g & g t ;  
             & l t ; / k e y & g t ;  
             & l t ; v a l u e & g t ;  
                 & l t ; i n t & g t ; 3 8 & l t ; / i n t & g t ;  
             & l t ; / v a l u e & g t ;  
         & l t ; / i t e m & g t ;  
         & l t ; i t e m & g t ;  
             & l t ; k e y & g t ;  
                 & l t ; s t r i n g & g t ; B e d s   o c c   o v e r   1 4   d a y s & l t ; / s t r i n g & g t ;  
             & l t ; / k e y & g t ;  
             & l t ; v a l u e & g t ;  
                 & l t ; i n t & g t ; 3 9 & l t ; / i n t & g t ;  
             & l t ; / v a l u e & g t ;  
         & l t ; / i t e m & g t ;  
     & l t ; / C o l u m n D i s p l a y I n d e x & g t ;  
     & l t ; C o l u m n F r o z e n   / & g t ;  
     & l t ; C o l u m n C h e c k e d & g t ;  
         & l t ; i t e m & g t ;  
             & l t ; k e y & g t ;  
                 & l t ; s t r i n g & g t ; B e d s   o c c   o v e r   1 4   d a y s & l t ; / s t r i n g & g t ; 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 2 0 5 7 < / 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 I D < / A t t r i b u t e I D > < O v e r r i d e B e h a v i o r > N o n e < / O v e r r i d e B e h a v i o r > < N a m e > I D _ < / N a m e > < / A t t r i b u t e R e l a t i o n s h i p > < A t t r i b u t e R e l a t i o n s h i p > < A t t r i b u t e I D > c r i _ i d < / A t t r i b u t e I D > < O v e r r i d e B e h a v i o r > N o n e < / O v e r r i d e B e h a v i o r > < N a m e > c r i _ i d < / N a m e > < / A t t r i b u t e R e l a t i o n s h i p > < A t t r i b u t e R e l a t i o n s h i p > < A t t r i b u t e I D > d r _ i d < / A t t r i b u t e I D > < O v e r r i d e B e h a v i o r > N o n e < / O v e r r i d e B e h a v i o r > < N a m e > d r _ i d < / N a m e > < / A t t r i b u t e R e l a t i o n s h i p > < A t t r i b u t e R e l a t i o n s h i p > < A t t r i b u t e I D > o r g _ i d < / A t t r i b u t e I D > < O v e r r i d e B e h a v i o r > N o n e < / O v e r r i d e B e h a v i o r > < N a m e > o r g _ i d < / N a m e > < / A t t r i b u t e R e l a t i o n s h i p > < A t t r i b u t e R e l a t i o n s h i p > < A t t r i b u t e I D > c r i _ d a t a p e r i o d s t a r t < / A t t r i b u t e I D > < O v e r r i d e B e h a v i o r > N o n e < / O v e r r i d e B e h a v i o r > < N a m e > c r i _ d a t a p e r i o d s t a r t < / N a m e > < / A t t r i b u t e R e l a t i o n s h i p > < A t t r i b u t e R e l a t i o n s h i p > < A t t r i b u t e I D > C o d e < / A t t r i b u t e I D > < O v e r r i d e B e h a v i o r > N o n e < / O v e r r i d e B e h a v i o r > < N a m e > C o d e < / N a m e > < / A t t r i b u t e R e l a t i o n s h i p > < A t t r i b u t e R e l a t i o n s h i p > < A t t r i b u t e I D > N a m e < / A t t r i b u t e I D > < O v e r r i d e B e h a v i o r > N o n e < / O v e r r i d e B e h a v i o r > < N a m e > N a m e _ < / N a m e > < / A t t r i b u t e R e l a t i o n s h i p > < A t t r i b u t e R e l a t i o n s h i p > < A t t r i b u t e I D > D a t e < / A t t r i b u t e I D > < O v e r r i d e B e h a v i o r > N o n e < / O v e r r i d e B e h a v i o r > < N a m e > D a t e < / N a m e > < / A t t r i b u t e R e l a t i o n s h i p > < A t t r i b u t e R e l a t i o n s h i p > < A t t r i b u t e I D > W e e k < / A t t r i b u t e I D > < O v e r r i d e B e h a v i o r > N o n e < / O v e r r i d e B e h a v i o r > < N a m e > W e e k < / N a m e > < / A t t r i b u t e R e l a t i o n s h i p > < A t t r i b u t e R e l a t i o n s h i p > < A t t r i b u t e I D > D a y < / A t t r i b u t e I D > < O v e r r i d e B e h a v i o r > N o n e < / O v e r r i d e B e h a v i o r > < N a m e > D a y < / N a m e > < / A t t r i b u t e R e l a t i o n s h i p > < A t t r i b u t e R e l a t i o n s h i p > < A t t r i b u t e I D > B a n k   h o l i d a y < / A t t r i b u t e I D > < O v e r r i d e B e h a v i o r > N o n e < / O v e r r i d e B e h a v i o r > < N a m e > B a n k   h o l i d a y < / N a m e > < / A t t r i b u t e R e l a t i o n s h i p > < A t t r i b u t e R e l a t i o n s h i p > < A t t r i b u t e I D > A E   c l o s u r e s < / A t t r i b u t e I D > < O v e r r i d e B e h a v i o r > N o n e < / O v e r r i d e B e h a v i o r > < N a m e > A E   c l o s u r e s < / N a m e > < / A t t r i b u t e R e l a t i o n s h i p > < A t t r i b u t e R e l a t i o n s h i p > < A t t r i b u t e I D > A E   d i v e r t s < / A t t r i b u t e I D > < O v e r r i d e B e h a v i o r > N o n e < / O v e r r i d e B e h a v i o r > < N a m e > A E   d i v e r t s < / N a m e > < / A t t r i b u t e R e l a t i o n s h i p > < A t t r i b u t e R e l a t i o n s h i p > < A t t r i b u t e I D > A E   t y p e   1   a t t e n d a n c e s < / A t t r i b u t e I D > < O v e r r i d e B e h a v i o r > N o n e < / O v e r r i d e B e h a v i o r > < N a m e > A E   t y p e   1   a t t e n d a n c e s < / N a m e > < / A t t r i b u t e R e l a t i o n s h i p > < A t t r i b u t e R e l a t i o n s h i p > < A t t r i b u t e I D > A E   t y p e   2   a t t e n d a n c e s < / A t t r i b u t e I D > < O v e r r i d e B e h a v i o r > N o n e < / O v e r r i d e B e h a v i o r > < N a m e > A E   t y p e   2   a t t e n d a n c e s < / N a m e > < / A t t r i b u t e R e l a t i o n s h i p > < A t t r i b u t e R e l a t i o n s h i p > < A t t r i b u t e I D > A E   t y p e   3   a t t e n d a n c e s < / A t t r i b u t e I D > < O v e r r i d e B e h a v i o r > N o n e < / O v e r r i d e B e h a v i o r > < N a m e > A E   t y p e   3   a t t e n d a n c e s < / N a m e > < / A t t r i b u t e R e l a t i o n s h i p > < A t t r i b u t e R e l a t i o n s h i p > < A t t r i b u t e I D > A E   t o t a l   a t t e n d a n c e s < / A t t r i b u t e I D > < O v e r r i d e B e h a v i o r > N o n e < / O v e r r i d e B e h a v i o r > < N a m e > A E   t o t a l   a t t e n d a n c e s < / N a m e > < / A t t r i b u t e R e l a t i o n s h i p > < A t t r i b u t e R e l a t i o n s h i p > < A t t r i b u t e I D > E m e r g e n c y   a d m i s s i o n s < / A t t r i b u t e I D > < O v e r r i d e B e h a v i o r > N o n e < / O v e r r i d e B e h a v i o r > < N a m e > E m e r g e n c y   a d m i s s i o n s < / N a m e > < / A t t r i b u t e R e l a t i o n s h i p > < A t t r i b u t e R e l a t i o n s h i p > < A t t r i b u t e I D > G A   c o r e   b e d s   a v a i l < / A t t r i b u t e I D > < O v e r r i d e B e h a v i o r > N o n e < / O v e r r i d e B e h a v i o r > < N a m e > G A   c o r e   b e d s   a v a i l < / N a m e > < / A t t r i b u t e R e l a t i o n s h i p > < A t t r i b u t e R e l a t i o n s h i p > < A t t r i b u t e I D > G A   e s c a l a t i o n   b e d s   a v a i l < / A t t r i b u t e I D > < O v e r r i d e B e h a v i o r > N o n e < / O v e r r i d e B e h a v i o r > < N a m e > G A   e s c a l a t i o n   b e d s   a v a i l < / N a m e > < / A t t r i b u t e R e l a t i o n s h i p > < A t t r i b u t e R e l a t i o n s h i p > < A t t r i b u t e I D > G A   t o t a l   b e d s   a v a i l < / A t t r i b u t e I D > < O v e r r i d e B e h a v i o r > N o n e < / O v e r r i d e B e h a v i o r > < N a m e > G A   t o t a l   b e d s   a v a i l < / N a m e > < / A t t r i b u t e R e l a t i o n s h i p > < A t t r i b u t e R e l a t i o n s h i p > < A t t r i b u t e I D > G A   t o t a l   b e d s   o c c u p i e d < / A t t r i b u t e I D > < O v e r r i d e B e h a v i o r > N o n e < / O v e r r i d e B e h a v i o r > < N a m e > G A   t o t a l   b e d s   o c c u p i e d < / N a m e > < / A t t r i b u t e R e l a t i o n s h i p > < A t t r i b u t e R e l a t i o n s h i p > < A t t r i b u t e I D > B e d s   c l o s e d   n o r o v i r u s < / A t t r i b u t e I D > < O v e r r i d e B e h a v i o r > N o n e < / O v e r r i d e B e h a v i o r > < N a m e > B e d s   c l o s e d   n o r o v i r u s < / N a m e > < / A t t r i b u t e R e l a t i o n s h i p > < A t t r i b u t e R e l a t i o n s h i p > < A t t r i b u t e I D > B e d s   c l o s e d   n o r o v i u s   u n o c c < / A t t r i b u t e I D > < O v e r r i d e B e h a v i o r > N o n e < / O v e r r i d e B e h a v i o r > < N a m e > B e d s   c l o s e d   n o r o v i u s   u n o c c < / N a m e > < / A t t r i b u t e R e l a t i o n s h i p > < A t t r i b u t e R e l a t i o n s h i p > < A t t r i b u t e I D > A d u l t   C C   b e d s   a v a i l < / A t t r i b u t e I D > < O v e r r i d e B e h a v i o r > N o n e < / O v e r r i d e B e h a v i o r > < N a m e > A d u l t   C C   b e d s   a v a i l < / N a m e > < / A t t r i b u t e R e l a t i o n s h i p > < A t t r i b u t e R e l a t i o n s h i p > < A t t r i b u t e I D > A d u l t   C C   b e d s   o c c < / A t t r i b u t e I D > < O v e r r i d e B e h a v i o r > N o n e < / O v e r r i d e B e h a v i o r > < N a m e > A d u l t   C C   b e d s   o c c < / N a m e > < / A t t r i b u t e R e l a t i o n s h i p > < A t t r i b u t e R e l a t i o n s h i p > < A t t r i b u t e I D > P a e d   I n t   C a r e   A v a i l < / A t t r i b u t e I D > < O v e r r i d e B e h a v i o r > N o n e < / O v e r r i d e B e h a v i o r > < N a m e > P a e d   I n t   C a r e   A v a i l < / N a m e > < / A t t r i b u t e R e l a t i o n s h i p > < A t t r i b u t e R e l a t i o n s h i p > < A t t r i b u t e I D > P a e d   I n t   C a r e   O c c < / A t t r i b u t e I D > < O v e r r i d e B e h a v i o r > N o n e < / O v e r r i d e B e h a v i o r > < N a m e > P a e d   I n t   C a r e   O c c < / N a m e > < / A t t r i b u t e R e l a t i o n s h i p > < A t t r i b u t e R e l a t i o n s h i p > < A t t r i b u t e I D > N e o   I n t   C a r e   A v a i l < / A t t r i b u t e I D > < O v e r r i d e B e h a v i o r > N o n e < / O v e r r i d e B e h a v i o r > < N a m e > N e o   I n t   C a r e   A v a i l < / N a m e > < / A t t r i b u t e R e l a t i o n s h i p > < A t t r i b u t e R e l a t i o n s h i p > < A t t r i b u t e I D > N e o   I n t   C a r e   o c c < / A t t r i b u t e I D > < O v e r r i d e B e h a v i o r > N o n e < / O v e r r i d e B e h a v i o r > < N a m e > N e o   I n t   C a r e   o c c < / N a m e > < / A t t r i b u t e R e l a t i o n s h i p > < A t t r i b u t e R e l a t i o n s h i p > < A t t r i b u t e I D > O P E L   3   o r   a b o v e < / A t t r i b u t e I D > < O v e r r i d e B e h a v i o r > N o n e < / O v e r r i d e B e h a v i o r > < N a m e > O P E L   3   o r   a b o v e < / N a m e > < / A t t r i b u t e R e l a t i o n s h i p > < A t t r i b u t e R e l a t i o n s h i p > < A t t r i b u t e I D > W e e k e n d < / A t t r i b u t e I D > < O v e r r i d e B e h a v i o r > N o n e < / O v e r r i d e B e h a v i o r > < N a m e > W e e k e n d < / N a m e > < / A t t r i b u t e R e l a t i o n s h i p > < A t t r i b u t e R e l a t i o n s h i p > < A t t r i b u t e I D > R e g i o n < / A t t r i b u t e I D > < O v e r r i d e B e h a v i o r > N o n e < / O v e r r i d e B e h a v i o r > < N a m e > R e g i o n < / N a m e > < / A t t r i b u t e R e l a t i o n s h i p > < A t t r i b u t e R e l a t i o n s h i p > < A t t r i b u t e I D > Y e a r < / A t t r i b u t e I D > < O v e r r i d e B e h a v i o r > N o n e < / O v e r r i d e B e h a v i o r > < N a m e > Y e a r < / N a m e > < / A t t r i b u t e R e l a t i o n s h i p > < A t t r i b u t e R e l a t i o n s h i p > < A t t r i b u t e I D > B e d s   o c c   o v e r   7   d a y s < / A t t r i b u t e I D > < O v e r r i d e B e h a v i o r > N o n e < / O v e r r i d e B e h a v i o r > < N a m e > B e d s   o c c   o v e r   7   d a y s < / N a m e > < / A t t r i b u t e R e l a t i o n s h i p > < A t t r i b u t e R e l a t i o n s h i p > < A t t r i b u t e I D > B e d s   o c c   o v e r   2 1   d a y s < / A t t r i b u t e I D > < O v e r r i d e B e h a v i o r > N o n e < / O v e r r i d e B e h a v i o r > < N a m e > B e d s   o c c   o v e r   2 1   d a y s < / N a m e > < / A t t r i b u t e R e l a t i o n s h i p > < A t t r i b u t e R e l a t i o n s h i p > < A t t r i b u t e I D > A m b   a r r i v a l s < / A t t r i b u t e I D > < O v e r r i d e B e h a v i o r > N o n e < / O v e r r i d e B e h a v i o r > < N a m e > A m b   a r r i v a l s < / N a m e > < / A t t r i b u t e R e l a t i o n s h i p > < A t t r i b u t e R e l a t i o n s h i p > < A t t r i b u t e I D > A m b   d e l a y s   3 0 - 6 0   m i n s < / A t t r i b u t e I D > < O v e r r i d e B e h a v i o r > N o n e < / O v e r r i d e B e h a v i o r > < N a m e > A m b   d e l a y s   3 0 - 6 0   m i n s < / N a m e > < / A t t r i b u t e R e l a t i o n s h i p > < A t t r i b u t e R e l a t i o n s h i p > < A t t r i b u t e I D > A m b   d e l a y s   o v e r   6 0   m i n s < / A t t r i b u t e I D > < O v e r r i d e B e h a v i o r > N o n e < / O v e r r i d e B e h a v i o r > < N a m e > A m b   d e l a y s   o v e r   6 0   m i n s < / N a m e > < / A t t r i b u t e R e l a t i o n s h i p > < A t t r i b u t e R e l a t i o n s h i p > < A t t r i b u t e I D > C a l c u l a t e d C o l u m n 1 < / A t t r i b u t e I D > < O v e r r i d e B e h a v i o r > N o n e < / O v e r r i d e B e h a v i o r > < N a m e > W e e k   l o n g < / N a m e > < / A t t r i b u t e R e l a t i o n s h i p > < A t t r i b u t e R e l a t i o n s h i p > < A t t r i b u t e I D > C a l c u l a t e d C o l u m n 1   1 < / A t t r i b u t e I D > < O v e r r i d e B e h a v i o r > N o n e < / O v e r r i d e B e h a v i o r > < N a m e > G A   b e d   o c c u p a n c y < / N a m e > < / A t t r i b u t e R e l a t i o n s h i p > < A t t r i b u t e R e l a t i o n s h i p > < A t t r i b u t e I D > B e d s   o c c   o v e r   1 4   d a y s < / A t t r i b u t e I D > < O v e r r i d e B e h a v i o r > N o n e < / O v e r r i d e B e h a v i o r > < N a m e > B e d s   o c c   o v e r   1 4   d a y s < / N a m e > < / A t t r i b u t e R e l a t i o n s h i p > < / A t t r i b u t e R e l a t i o n s h i p s > < O r d e r B y > K e y < / O r d e r B y > < A t t r i b u t e H i e r a r c h y V i s i b l e > f a l s e < / A t t r i b u t e H i e r a r c h y V i s i b l e > < / A t t r i b u t e > < A t t r i b u t e > < A n n o t a t i o n s > < A n n o t a t i o n > < N a m e > F o r m a t < / N a m e > < V a l u e > < F o r m a t   F o r m a t = " G e n e r a l "   x m l n s = " "   / > < / V a l u e > < / A n n o t a t i o n > < / A n n o t a t i o n s > < I D > I D < / I D > < N a m e > I D < / N a m e > < 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 I D < / C o l u m n I D > < / S o u r c e > < / N a m e C o l u m n > < O r d e r B y > K e y < / O r d e r B y > < / A t t r i b u t e > < A t t r i b u t e > < A n n o t a t i o n s > < A n n o t a t i o n > < N a m e > F o r m a t < / N a m e > < V a l u e > < F o r m a t   F o r m a t = " G e n e r a l "   x m l n s = " "   / > < / V a l u e > < / A n n o t a t i o n > < / A n n o t a t i o n s > < I D > c r i _ i d < / I D > < N a m e > c r i _ i d < / N a m e > < 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 c r i _ i d < / C o l u m n I D > < / S o u r c e > < / N a m e C o l u m n > < O r d e r B y > K e y < / O r d e r B y > < / A t t r i b u t e > < A t t r i b u t e > < A n n o t a t i o n s > < A n n o t a t i o n > < N a m e > F o r m a t < / N a m e > < V a l u e > < F o r m a t   F o r m a t = " G e n e r a l "   x m l n s = " "   / > < / V a l u e > < / A n n o t a t i o n > < / A n n o t a t i o n s > < I D > d r _ i d < / I D > < N a m e > d r _ i d < / N a m e > < 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 d r _ i d < / C o l u m n I D > < / S o u r c e > < / N a m e C o l u m n > < O r d e r B y > K e y < / O r d e r B y > < / A t t r i b u t e > < A t t r i b u t e > < A n n o t a t i o n s > < A n n o t a t i o n > < N a m e > F o r m a t < / N a m e > < V a l u e > < F o r m a t   F o r m a t = " G e n e r a l "   x m l n s = " "   / > < / V a l u e > < / A n n o t a t i o n > < / A n n o t a t i o n s > < I D > o r g _ i d < / I D > < N a m e > o r g _ i d < / N a m e > < 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 o r g _ i d < / C o l u m n I D > < / S o u r c e > < / N a m e C o l u m n > < O r d e r B y > K e y < / O r d e r B y > < / A t t r i b u t e > < A t t r i b u t e > < A n n o t a t i o n s > < A n n o t a t i o n > < N a m e > F o r m a t < / N a m e > < V a l u e > < F o r m a t   F o r m a t = " D a t e T i m e G e n e r a l "   x m l n s = " "   / > < / V a l u e > < / A n n o t a t i o n > < / A n n o t a t i o n s > < I D > c r i _ d a t a p e r i o d s t a r t < / I D > < N a m e > c r i _ d a t a p e r i o d s t a r t < / N a m e > < 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 c r i _ d a t a p e r i o d s t a r t < / C o l u m n I D > < / S o u r c e > < / N a m e C o l u m n > < O r d e r B y > K e y < / O r d e r B y > < / A t t r i b u t e > < A t t r i b u t e > < A n n o t a t i o n s > < A n n o t a t i o n > < N a m e > F o r m a t < / N a m e > < V a l u e > < F o r m a t   F o r m a t = " T e x t "   x m l n s = " "   / > < / V a l u e > < / A n n o t a t i o n > < / A n n o t a t i o n s > < I D > C o d e < / I D > < N a m e > C o d e < / N a m e > < 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 C o d e < / C o l u m n I D > < / S o u r c e > < / N a m e C o l u m n > < O r d e r B y > K e y < / O r d e r B y > < / A t t r i b u t e > < A t t r i b u t e > < A n n o t a t i o n s > < A n n o t a t i o n > < N a m e > F o r m a t < / N a m e > < V a l u e > < F o r m a t   F o r m a t = " T e x t "   x m l n s = " "   / > < / V a l u e > < / A n n o t a t i o n > < / A n n o t a t i o n s > < I D > N a m e < / I D > < N a m e > N a m e < / N a m e > < 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 N a m e < / C o l u m n I D > < / S o u r c e > < / N a m e C o l u m n > < O r d e r B y > K e y < / O r d e r B y > < / A t t r i b u t e > < A t t r i b u t e > < A n n o t a t i o n s > < A n n o t a t i o n > < N a m e > F o r m a t < / N a m e > < V a l u e > < F o r m a t   F o r m a t = " D a t e T i m e C u s t o m "   x m l n s = " " > < D a t e T i m e s > < D a t e T i m e   L C I D = " 2 0 5 7 "   G r o u p = " S h o r t D a t e "   F o r m a t S t r i n g = " d d / M M / y y "   / > < / D a t e T i m e s > < / F o r m a t > < / V a l u e > < / A n n o t a t i o n > < / A n n o t a t i o n s > < I D > D a t e < / I D > < N a m e > D a t e < / N a m e > < 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 D a t e < / C o l u m n I D > < / S o u r c e > < / N a m e C o l u m n > < O r d e r B y > K e y < / O r d e r B y > < d d l 3 0 0 _ 3 0 0 : F o r m a t S t r i n g > d d / M M / y y < / d d l 3 0 0 _ 3 0 0 : F o r m a t S t r i n g > < / A t t r i b u t e > < A t t r i b u t e > < A n n o t a t i o n s > < A n n o t a t i o n > < N a m e > F o r m a t < / N a m e > < V a l u e > < F o r m a t   F o r m a t = " G e n e r a l "   x m l n s = " "   / > < / V a l u e > < / A n n o t a t i o n > < / A n n o t a t i o n s > < I D > W e e k < / I D > < N a m e > W e e k < / N a m e > < 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C o l u m n I D > < / S o u r c e > < / N a m e C o l u m n > < O r d e r B y > K e y < / O r d e r B y > < / A t t r i b u t e > < A t t r i b u t e > < A n n o t a t i o n s > < A n n o t a t i o n > < N a m e > F o r m a t < / N a m e > < V a l u e > < F o r m a t   F o r m a t = " T e x t "   x m l n s = " "   / > < / V a l u e > < / A n n o t a t i o n > < / A n n o t a t i o n s > < I D > D a y < / I D > < N a m e > D a y < / N a m e > < 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 D a y < / C o l u m n I D > < / S o u r c e > < / N a m e C o l u m n > < O r d e r B y > K e y < / O r d e r B y > < / A t t r i b u t e > < A t t r i b u t e > < A n n o t a t i o n s > < A n n o t a t i o n > < N a m e > F o r m a t < / N a m e > < V a l u e > < F o r m a t   F o r m a t = " G e n e r a l "   x m l n s = " "   / > < / V a l u e > < / A n n o t a t i o n > < / A n n o t a t i o n s > < I D > B a n k   h o l i d a y < / I D > < N a m e > B a n k   h o l i d a y < / N a m e > < 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 B a n k _ x 0 0 2 0 _ h o l i d a y < / C o l u m n I D > < / S o u r c e > < / N a m e C o l u m n > < O r d e r B y > K e y < / O r d e r B y > < / A t t r i b u t e > < A t t r i b u t e > < A n n o t a t i o n s > < A n n o t a t i o n > < N a m e > F o r m a t < / N a m e > < V a l u e > < F o r m a t   F o r m a t = " G e n e r a l "   x m l n s = " "   / > < / V a l u e > < / A n n o t a t i o n > < / A n n o t a t i o n s > < I D > A E   c l o s u r e s < / I D > < N a m e > A E   c l o s u r e s < / N a m e > < 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 A _ x 0 0 2 6 _ E _ x 0 0 2 0 _ c l o s u r e s < / C o l u m n I D > < / S o u r c e > < / N a m e C o l u m n > < O r d e r B y > K e y < / O r d e r B y > < / A t t r i b u t e > < A t t r i b u t e > < A n n o t a t i o n s > < A n n o t a t i o n > < N a m e > F o r m a t < / N a m e > < V a l u e > < F o r m a t   F o r m a t = " G e n e r a l "   x m l n s = " "   / > < / V a l u e > < / A n n o t a t i o n > < / A n n o t a t i o n s > < I D > A E   d i v e r t s < / I D > < N a m e > A E   d i v e r t s < / N a m e > < 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 A _ x 0 0 2 6 _ E _ x 0 0 2 0 _ d i v e r t s < / C o l u m n I D > < / S o u r c e > < / N a m e C o l u m n > < O r d e r B y > K e y < / O r d e r B y > < / A t t r i b u t e > < A t t r i b u t e > < A n n o t a t i o n s > < A n n o t a t i o n > < N a m e > F o r m a t < / N a m e > < V a l u e > < F o r m a t   F o r m a t = " G e n e r a l "   x m l n s = " "   / > < / V a l u e > < / A n n o t a t i o n > < / A n n o t a t i o n s > < I D > A E   t y p e   1   a t t e n d a n c e s < / I D > < N a m e > A E   t y p e   1 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 A _ x 0 0 2 6 _ E _ x 0 0 2 0 _ t y p e _ x 0 0 2 0 _ 1 _ x 0 0 2 0 _ a t t e n d a n c e s < / C o l u m n I D > < / S o u r c e > < / N a m e C o l u m n > < O r d e r B y > K e y < / O r d e r B y > < / A t t r i b u t e > < A t t r i b u t e > < A n n o t a t i o n s > < A n n o t a t i o n > < N a m e > F o r m a t < / N a m e > < V a l u e > < F o r m a t   F o r m a t = " G e n e r a l "   x m l n s = " "   / > < / V a l u e > < / A n n o t a t i o n > < / A n n o t a t i o n s > < I D > A E   t y p e   2   a t t e n d a n c e s < / I D > < N a m e > A E   t y p e   2 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 A _ x 0 0 2 6 _ E _ x 0 0 2 0 _ t y p e _ x 0 0 2 0 _ 2 _ x 0 0 2 0 _ a t t e n d a n c e s < / C o l u m n I D > < / S o u r c e > < / N a m e C o l u m n > < O r d e r B y > K e y < / O r d e r B y > < / A t t r i b u t e > < A t t r i b u t e > < A n n o t a t i o n s > < A n n o t a t i o n > < N a m e > F o r m a t < / N a m e > < V a l u e > < F o r m a t   F o r m a t = " G e n e r a l "   x m l n s = " "   / > < / V a l u e > < / A n n o t a t i o n > < / A n n o t a t i o n s > < I D > A E   t y p e   3   a t t e n d a n c e s < / I D > < N a m e > A E   t y p e   3 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 A _ x 0 0 2 6 _ E _ x 0 0 2 0 _ t y p e _ x 0 0 2 0 _ 3 _ x 0 0 2 0 _ a t t e n d a n c e s < / C o l u m n I D > < / S o u r c e > < / N a m e C o l u m n > < O r d e r B y > K e y < / O r d e r B y > < / A t t r i b u t e > < A t t r i b u t e > < A n n o t a t i o n s > < A n n o t a t i o n > < N a m e > F o r m a t < / N a m e > < V a l u e > < F o r m a t   F o r m a t = " G e n e r a l "   x m l n s = " "   / > < / V a l u e > < / A n n o t a t i o n > < / A n n o t a t i o n s > < I D > A E   t o t a l   a t t e n d a n c e s < / I D > < N a m e > A E   t o t a l 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 A _ x 0 0 2 6 _ E _ x 0 0 2 0 _ t o t a l _ x 0 0 2 0 _ a t t e n d a n c e s < / C o l u m n I D > < / S o u r c e > < / N a m e C o l u m n > < O r d e r B y > K e y < / O r d e r B y > < / A t t r i b u t e > < A t t r i b u t e > < A n n o t a t i o n s > < A n n o t a t i o n > < N a m e > F o r m a t < / N a m e > < V a l u e > < F o r m a t   F o r m a t = " G e n e r a l "   x m l n s = " "   / > < / V a l u e > < / A n n o t a t i o n > < / A n n o t a t i o n s > < I D > E m e r g e n c y   a d m i s s i o n s < / I D > < N a m e > E m e r g e n c y   a d m i s s i o n s < / N a m e > < 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 E m e r g e n c y _ x 0 0 2 0 _ a d m i s s i o n s < / C o l u m n I D > < / S o u r c e > < / N a m e C o l u m n > < O r d e r B y > K e y < / O r d e r B y > < / A t t r i b u t e > < A t t r i b u t e > < A n n o t a t i o n s > < A n n o t a t i o n > < N a m e > F o r m a t < / N a m e > < V a l u e > < F o r m a t   F o r m a t = " G e n e r a l "   x m l n s = " "   / > < / V a l u e > < / A n n o t a t i o n > < / A n n o t a t i o n s > < I D > G A   c o r e   b e d s   a v a i l < / I D > < N a m e > G A   c o r e 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 G _ x 0 0 2 6 _ A _ x 0 0 2 0 _ c o r e _ x 0 0 2 0 _ b e d s _ x 0 0 2 0 _ a v a i l < / C o l u m n I D > < / S o u r c e > < / N a m e C o l u m n > < O r d e r B y > K e y < / O r d e r B y > < / A t t r i b u t e > < A t t r i b u t e > < A n n o t a t i o n s > < A n n o t a t i o n > < N a m e > F o r m a t < / N a m e > < V a l u e > < F o r m a t   F o r m a t = " G e n e r a l "   x m l n s = " "   / > < / V a l u e > < / A n n o t a t i o n > < / A n n o t a t i o n s > < I D > G A   e s c a l a t i o n   b e d s   a v a i l < / I D > < N a m e > G A   e s c a l a t i o n 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 G _ x 0 0 2 6 _ A _ x 0 0 2 0 _ e s c a l a t i o n _ x 0 0 2 0 _ b e d s _ x 0 0 2 0 _ a v a i l < / C o l u m n I D > < / S o u r c e > < / N a m e C o l u m n > < O r d e r B y > K e y < / O r d e r B y > < / A t t r i b u t e > < A t t r i b u t e > < A n n o t a t i o n s > < A n n o t a t i o n > < N a m e > F o r m a t < / N a m e > < V a l u e > < F o r m a t   F o r m a t = " G e n e r a l "   x m l n s = " "   / > < / V a l u e > < / A n n o t a t i o n > < / A n n o t a t i o n s > < I D > G A   t o t a l   b e d s   a v a i l < / I D > < N a m e > G A   t o t a l 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 G _ x 0 0 2 6 _ A _ x 0 0 2 0 _ t o t a l _ x 0 0 2 0 _ b e d s _ x 0 0 2 0 _ a v a i l < / C o l u m n I D > < / S o u r c e > < / N a m e C o l u m n > < O r d e r B y > K e y < / O r d e r B y > < / A t t r i b u t e > < A t t r i b u t e > < A n n o t a t i o n s > < A n n o t a t i o n > < N a m e > F o r m a t < / N a m e > < V a l u e > < F o r m a t   F o r m a t = " G e n e r a l "   x m l n s = " "   / > < / V a l u e > < / A n n o t a t i o n > < / A n n o t a t i o n s > < I D > G A   t o t a l   b e d s   o c c u p i e d < / I D > < N a m e > G A   t o t a l   b e d s   o c c u p i e d < / 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 G _ x 0 0 2 6 _ A _ x 0 0 2 0 _ t o t a l _ x 0 0 2 0 _ b e d s _ x 0 0 2 0 _ o c c u p i e d < / C o l u m n I D > < / S o u r c e > < / N a m e C o l u m n > < O r d e r B y > K e y < / O r d e r B y > < / A t t r i b u t e > < A t t r i b u t e > < A n n o t a t i o n s > < A n n o t a t i o n > < N a m e > F o r m a t < / N a m e > < V a l u e > < F o r m a t   F o r m a t = " G e n e r a l "   x m l n s = " "   / > < / V a l u e > < / A n n o t a t i o n > < / A n n o t a t i o n s > < I D > B e d s   c l o s e d   n o r o v i r u s < / I D > < N a m e > B e d s   c l o s e d   n o r o v i r u s < / 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 B e d s _ x 0 0 2 0 _ c l o s e d _ x 0 0 2 0 _ n o r o v i r u s < / C o l u m n I D > < / S o u r c e > < / N a m e C o l u m n > < O r d e r B y > K e y < / O r d e r B y > < / A t t r i b u t e > < A t t r i b u t e > < A n n o t a t i o n s > < A n n o t a t i o n > < N a m e > F o r m a t < / N a m e > < V a l u e > < F o r m a t   F o r m a t = " G e n e r a l "   x m l n s = " "   / > < / V a l u e > < / A n n o t a t i o n > < / A n n o t a t i o n s > < I D > B e d s   c l o s e d   n o r o v i u s   u n o c c < / I D > < N a m e > B e d s   c l o s e d   n o r o v i u s   u n o c c < / 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 B e d s _ x 0 0 2 0 _ c l o s e d _ x 0 0 2 0 _ n o r o v i u s _ x 0 0 2 0 _ u n o c c < / C o l u m n I D > < / S o u r c e > < / N a m e C o l u m n > < O r d e r B y > K e y < / O r d e r B y > < / A t t r i b u t e > < A t t r i b u t e > < A n n o t a t i o n s > < A n n o t a t i o n > < N a m e > F o r m a t < / N a m e > < V a l u e > < F o r m a t   F o r m a t = " G e n e r a l "   x m l n s = " "   / > < / V a l u e > < / A n n o t a t i o n > < / A n n o t a t i o n s > < I D > A d u l t   C C   b e d s   a v a i l < / I D > < N a m e > A d u l t   C C   b e d s   a v a i l < / 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 A d u l t _ x 0 0 2 0 _ C C _ x 0 0 2 0 _ b e d s _ x 0 0 2 0 _ a v a i l < / C o l u m n I D > < / S o u r c e > < / N a m e C o l u m n > < O r d e r B y > K e y < / O r d e r B y > < / A t t r i b u t e > < A t t r i b u t e > < A n n o t a t i o n s > < A n n o t a t i o n > < N a m e > F o r m a t < / N a m e > < V a l u e > < F o r m a t   F o r m a t = " G e n e r a l "   x m l n s = " "   / > < / V a l u e > < / A n n o t a t i o n > < / A n n o t a t i o n s > < I D > A d u l t   C C   b e d s   o c c < / I D > < N a m e > A d u l t   C C   b e d s   o c c < / 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 A d u l t _ x 0 0 2 0 _ C C _ x 0 0 2 0 _ b e d s _ x 0 0 2 0 _ o c c < / C o l u m n I D > < / S o u r c e > < / N a m e C o l u m n > < O r d e r B y > K e y < / O r d e r B y > < / A t t r i b u t e > < A t t r i b u t e > < A n n o t a t i o n s > < A n n o t a t i o n > < N a m e > F o r m a t < / N a m e > < V a l u e > < F o r m a t   F o r m a t = " G e n e r a l "   x m l n s = " "   / > < / V a l u e > < / A n n o t a t i o n > < / A n n o t a t i o n s > < I D > P a e d   I n t   C a r e   A v a i l < / I D > < N a m e > P a e d   I n t   C a r e   A v a i l < / 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 P a e d _ x 0 0 2 0 _ I n t _ x 0 0 2 0 _ C a r e _ x 0 0 2 0 _ A v a i l < / C o l u m n I D > < / S o u r c e > < / N a m e C o l u m n > < O r d e r B y > K e y < / O r d e r B y > < / A t t r i b u t e > < A t t r i b u t e > < A n n o t a t i o n s > < A n n o t a t i o n > < N a m e > F o r m a t < / N a m e > < V a l u e > < F o r m a t   F o r m a t = " G e n e r a l "   x m l n s = " "   / > < / V a l u e > < / A n n o t a t i o n > < / A n n o t a t i o n s > < I D > P a e d   I n t   C a r e   O c c < / I D > < N a m e > P a e d   I n t   C a r e   O c c < / 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 P a e d _ x 0 0 2 0 _ I n t _ x 0 0 2 0 _ C a r e _ x 0 0 2 0 _ O c c < / C o l u m n I D > < / S o u r c e > < / N a m e C o l u m n > < O r d e r B y > K e y < / O r d e r B y > < / A t t r i b u t e > < A t t r i b u t e > < A n n o t a t i o n s > < A n n o t a t i o n > < N a m e > F o r m a t < / N a m e > < V a l u e > < F o r m a t   F o r m a t = " G e n e r a l "   x m l n s = " "   / > < / V a l u e > < / A n n o t a t i o n > < / A n n o t a t i o n s > < I D > N e o   I n t   C a r e   A v a i l < / I D > < N a m e > N e o   I n t   C a r e   A v a i l < / 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 N e o _ x 0 0 2 0 _ I n t _ x 0 0 2 0 _ C a r e _ x 0 0 2 0 _ A v a i l < / C o l u m n I D > < / S o u r c e > < / N a m e C o l u m n > < O r d e r B y > K e y < / O r d e r B y > < / A t t r i b u t e > < A t t r i b u t e > < A n n o t a t i o n s > < A n n o t a t i o n > < N a m e > F o r m a t < / N a m e > < V a l u e > < F o r m a t   F o r m a t = " G e n e r a l "   x m l n s = " "   / > < / V a l u e > < / A n n o t a t i o n > < / A n n o t a t i o n s > < I D > N e o   I n t   C a r e   o c c < / I D > < N a m e > N e o   I n t   C a r e   o c c < / 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 N e o _ x 0 0 2 0 _ I n t _ x 0 0 2 0 _ C a r e _ x 0 0 2 0 _ o c c < / C o l u m n I D > < / S o u r c e > < / N a m e C o l u m n > < O r d e r B y > K e y < / O r d e r B y > < / A t t r i b u t e > < A t t r i b u t e > < A n n o t a t i o n s > < A n n o t a t i o n > < N a m e > F o r m a t < / N a m e > < V a l u e > < F o r m a t   F o r m a t = " G e n e r a l "   x m l n s = " "   / > < / V a l u e > < / A n n o t a t i o n > < / A n n o t a t i o n s > < I D > O P E L   3   o r   a b o v e < / I D > < N a m e > O P E L   3   o r   a b o v e < / N a m e > < 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 O P E L _ x 0 0 2 0 _ 3 _ x 0 0 2 0 _ o r _ x 0 0 2 0 _ a b o v e < / C o l u m n I D > < / S o u r c e > < / N a m e C o l u m n > < O r d e r B y > K e y < / O r d e r B y > < / A t t r i b u t e > < A t t r i b u t e > < A n n o t a t i o n s > < A n n o t a t i o n > < N a m e > F o r m a t < / N a m e > < V a l u e > < F o r m a t   F o r m a t = " G e n e r a l "   x m l n s = " "   / > < / V a l u e > < / A n n o t a t i o n > < / A n n o t a t i o n s > < I D > W e e k e n d < / I D > < N a m e > W e e k e n d < / N a m e > < 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 W e e k e n d < / C o l u m n I D > < / S o u r c e > < / N a m e C o l u m n > < O r d e r B y > K e y < / O r d e r B y > < / A t t r i b u t e > < A t t r i b u t e > < A n n o t a t i o n s > < A n n o t a t i o n > < N a m e > F o r m a t < / N a m e > < V a l u e > < F o r m a t   F o r m a t = " T e x t "   x m l n s = " "   / > < / V a l u e > < / A n n o t a t i o n > < / A n n o t a t i o n s > < I D > R e g i o n < / I D > < N a m e > R e g i o n < / N a m e > < 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 R e g i o n < / C o l u m n I D > < / S o u r c e > < / N a m e C o l u m n > < O r d e r B y > K e y < / O r d e r B y > < / A t t r i b u t e > < A t t r i b u t e > < A n n o t a t i o n s > < A n n o t a t i o n > < N a m e > F o r m a t < / N a m e > < V a l u e > < F o r m a t   F o r m a t = " T e x t "   x m l n s = " "   / > < / V a l u e > < / A n n o t a t i o n > < / A n n o t a t i o n s > < I D > Y e a r < / I D > < N a m e > Y e a r < / N a m e > < 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 Y e a r < / C o l u m n I D > < / S o u r c e > < / N a m e C o l u m n > < O r d e r B y > K e y < / O r d e r B y > < / A t t r i b u t e > < A t t r i b u t e > < A n n o t a t i o n s > < A n n o t a t i o n > < N a m e > F o r m a t < / N a m e > < V a l u e > < F o r m a t   F o r m a t = " G e n e r a l "   x m l n s = " "   / > < / V a l u e > < / A n n o t a t i o n > < / A n n o t a t i o n s > < I D > B e d s   o c c   o v e r   7   d a y s < / I D > < N a m e > B e d s   o c c   o v e r   7 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 B e d s _ x 0 0 2 0 _ o c c _ x 0 0 2 0 _ o v e r _ x 0 0 2 0 _ 7 _ x 0 0 2 0 _ d a y s < / C o l u m n I D > < / S o u r c e > < / N a m e C o l u m n > < O r d e r B y > K e y < / O r d e r B y > < / A t t r i b u t e > < A t t r i b u t e > < A n n o t a t i o n s > < A n n o t a t i o n > < N a m e > F o r m a t < / N a m e > < V a l u e > < F o r m a t   F o r m a t = " G e n e r a l "   x m l n s = " "   / > < / V a l u e > < / A n n o t a t i o n > < / A n n o t a t i o n s > < I D > B e d s   o c c   o v e r   2 1   d a y s < / I D > < N a m e > B e d s   o c c   o v e r   2 1 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 B e d s _ x 0 0 2 0 _ o c c _ x 0 0 2 0 _ o v e r _ x 0 0 2 0 _ 2 1 _ x 0 0 2 0 _ d a y s < / C o l u m n I D > < / S o u r c e > < / N a m e C o l u m n > < O r d e r B y > K e y < / O r d e r B y > < / A t t r i b u t e > < A t t r i b u t e > < A n n o t a t i o n s > < A n n o t a t i o n > < N a m e > F o r m a t < / N a m e > < V a l u e > < F o r m a t   F o r m a t = " G e n e r a l "   x m l n s = " "   / > < / V a l u e > < / A n n o t a t i o n > < / A n n o t a t i o n s > < I D > A m b   a r r i v a l s < / I D > < N a m e > A m b   a r r i v a l s < / N a m e > < 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 A m b _ x 0 0 2 0 _ a r r i v a l s < / C o l u m n I D > < / S o u r c e > < / N a m e C o l u m n > < O r d e r B y > K e y < / O r d e r B y > < / A t t r i b u t e > < A t t r i b u t e > < A n n o t a t i o n s > < A n n o t a t i o n > < N a m e > F o r m a t < / N a m e > < V a l u e > < F o r m a t   F o r m a t = " G e n e r a l "   x m l n s = " "   / > < / V a l u e > < / A n n o t a t i o n > < / A n n o t a t i o n s > < I D > A m b   d e l a y s   3 0 - 6 0   m i n s < / I D > < N a m e > A m b   d e l a y s   3 0 - 6 0 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 A m b _ x 0 0 2 0 _ d e l a y s _ x 0 0 2 0 _ 3 0 - 6 0 _ x 0 0 2 0 _ m i n s < / C o l u m n I D > < / S o u r c e > < / N a m e C o l u m n > < O r d e r B y > K e y < / O r d e r B y > < / A t t r i b u t e > < A t t r i b u t e > < A n n o t a t i o n s > < A n n o t a t i o n > < N a m e > F o r m a t < / N a m e > < V a l u e > < F o r m a t   F o r m a t = " G e n e r a l "   x m l n s = " "   / > < / V a l u e > < / A n n o t a t i o n > < / A n n o t a t i o n s > < I D > A m b   d e l a y s   o v e r   6 0   m i n s < / I D > < N a m e > A m b   d e l a y s   o v e r   6 0 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 A m b _ x 0 0 2 0 _ d e l a y s _ x 0 0 2 0 _ o v e r _ x 0 0 2 0 _ 6 0 _ x 0 0 2 0 _ m i n s < / C o l u m n I D > < / S o u r c e > < / N a m e C o l u m n > < O r d e r B y > K e y < / O r d e r B y > < / A t t r i b u t e > < A t t r i b u t e > < A n n o t a t i o n s > < A n n o t a t i o n > < N a m e > F o r m a t < / N a m e > < V a l u e > < F o r m a t   F o r m a t = " T e x t "   x m l n s = " "   / > < / V a l u e > < / A n n o t a t i o n > < / A n n o t a t i o n s > < I D > C a l c u l a t e d C o l u m n 1 < / I D > < N a m e > W e e k   l o n g < / N a m e > < K e y C o l u m n s > < K e y C o l u m n > < D a t a T y p e > E m p t y < / D a t a T y p e > < S o u r c e   x s i : t y p e = " d d l 2 0 0 _ 2 0 0 : E x p r e s s i o n B i n d i n g " > < E x p r e s s i o n > " W e e k   " & a m p ; [ W e e k ] < / E x p r e s s i o n > < / S o u r c e > < / K e y C o l u m n > < / K e y C o l u m n s > < N a m e C o l u m n > < D a t a T y p e > W C h a r < / D a t a T y p e > < S o u r c e   x s i : t y p e = " d d l 2 0 0 _ 2 0 0 : E x p r e s s i o n B i n d i n g " > < E x p r e s s i o n > " W e e k   " & a m p ; [ W e e k ] < / E x p r e s s i o n > < / S o u r c e > < / N a m e C o l u m n > < O r d e r B y > K e y < / O r d e r B y > < / A t t r i b u t e > < A t t r i b u t e > < A n n o t a t i o n s > < A n n o t a t i o n > < N a m e > F o r m a t < / N a m e > < V a l u e > < F o r m a t   F o r m a t = " G e n e r a l "   x m l n s = " "   / > < / V a l u e > < / A n n o t a t i o n > < / A n n o t a t i o n s > < I D > C a l c u l a t e d C o l u m n 1   1 < / I D > < N a m e > G A   b e d   o c c u p a n c y < / N a m e > < K e y C o l u m n s > < K e y C o l u m n > < D a t a T y p e > E m p t y < / D a t a T y p e > < S o u r c e   x s i : t y p e = " d d l 2 0 0 _ 2 0 0 : E x p r e s s i o n B i n d i n g " > < E x p r e s s i o n > [ G A   t o t a l   b e d s   o c c u p i e d ] / [ G A   t o t a l   b e d s   a v a i l ] < / E x p r e s s i o n > < / S o u r c e > < / K e y C o l u m n > < / K e y C o l u m n s > < N a m e C o l u m n > < D a t a T y p e > W C h a r < / D a t a T y p e > < S o u r c e   x s i : t y p e = " d d l 2 0 0 _ 2 0 0 : E x p r e s s i o n B i n d i n g " > < E x p r e s s i o n > [ G A   t o t a l   b e d s   o c c u p i e d ] / [ G A   t o t a l   b e d s   a v a i l ] < / E x p r e s s i o n > < / S o u r c e > < / N a m e C o l u m n > < O r d e r B y > K e y < / O r d e r B y > < / A t t r i b u t e > < A t t r i b u t e > < I D > B e d s   o c c   o v e r   1 4   d a y s < / I D > < N a m e > B e d s   o c c   o v e r   1 4   d a y s < / N a m e > < K e y C o l u m n s > < K e y C o l u m n > < D a t a T y p e > D o u b l e < / D a t a T y p e > < D a t a S i z e > - 1 < / D a t a S i z e > < N u l l P r o c e s s i n g > P r e s e r v e < / N u l l P r o c e s s i n g > < S o u r c e   x s i : t y p e = " C o l u m n B i n d i n g " > < T a b l e I D > W i n t e r _ x 0 0 2 0 _ d a i l y _ x 0 0 2 0 _ s i t r e p s _ 1 d f 8 1 2 b b - 9 f c 3 - 4 6 7 4 - 8 d 4 1 - 6 0 c 6 7 2 6 a 8 e f 3 < / T a b l e I D > < C o l u m n I D > B e d s _ x 0 0 2 0 _ o c c _ x 0 0 2 0 _ o v e r _ x 0 0 2 0 _ 1 4 _ x 0 0 2 0 _ d a y s < / C o l u m n I D > < / S o u r c e > < / K e y C o l u m n > < / K e y C o l u m n s > < N a m e C o l u m n > < D a t a T y p e > W C h a r < / D a t a T y p e > < D a t a S i z e > - 1 < / D a t a S i z e > < N u l l P r o c e s s i n g > Z e r o O r B l a n k < / N u l l P r o c e s s i n g > < S o u r c e   x s i : t y p e = " C o l u m n B i n d i n g " > < T a b l e I D > W i n t e r _ x 0 0 2 0 _ d a i l y _ x 0 0 2 0 _ s i t r e p s _ 1 d f 8 1 2 b b - 9 f c 3 - 4 6 7 4 - 8 d 4 1 - 6 0 c 6 7 2 6 a 8 e f 3 < / T a b l e I D > < C o l u m n I D > B e d s _ x 0 0 2 0 _ o c c _ x 0 0 2 0 _ o v e r _ x 0 0 2 0 _ 1 4 _ x 0 0 2 0 _ d a y s < / 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 W i n t e r   b e d   o c c   o v e r   1 4   d a y s < / I D > < N a m e > W i n t e r   b e d   o c c   o v e r   1 4   d a y s < / N a m e > < U n k n o w n M e m b e r   v a l u e n s = " d d l 2 0 0 _ 2 0 0 " > A u t o m a t i c N u l l < / U n k n o w n M e m b e r > < E r r o r C o n f i g u r a t i o n > < K e y N o t F o u n d > I g n o r e E r r o r < / K e y N o t F o u n d > < K e y D u p l i c a t e > R e p o r t A n d S t o p < / K e y D u p l i c a t e > < N u l l K e y N o t A l l o w e d > R e p o r t A n d S t o p < / N u l l K e y N o t A l l o w e d > < / E r r o r C o n f i g u r a t i o n > < S t o r a g e M o d e   v a l u e n s = " d d l 2 0 0 _ 2 0 0 " > I n M e m o r y < / S t o r a g e M o d e > < L a n g u a g e > 2 0 5 7 < / L a n g u a g e > < U n k n o w n M e m b e r N a m e > U n k n o w n < / U n k n o w n M e m b e r N a m e > < A t t r i b u t e s > < A t t r i b u t e > < A n n o t a t i o n s > < A n n o t a t i o n > < N a m e > F o r m a t < / N a m e > < V a l u e > < F o r m a t   F o r m a t = " T e x t "   x m l n s = " "   / > < / V a l u e > < / A n n o t a t i o n > < / A n n o t a t i o n s > < I D > R e g i o n < / I D > < N a m e > R e g i o n < / 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 C o d e < / I D > < N a m e > C o d e 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 N a m e < / I D > < N a m e > N a m e 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 Y e a r < / I D > < N a m e > Y e a r < / N a m e > < K e y C o l u m n s > < K e y C o l u m n > < D a t a T y p e > W C h a r < / D a t a T y p e > < N u l l P r o c e s s i n g > P r e s e r v e < / N u l l P r o c e s s i n g > < / K e y C o l u m n > < / K e y C o l u m n s > < N a m e C o l u m n > < D a t a T y p e > W C h a r < / D a t a T y p e > < N u l l P r o c e s s i n g > Z e r o O r B l a n k < / N u l l P r o c e s s i n g > < / N a m e C o l u m n > < O r d e r B y > K e y < / O r d e r B y > < / A t t r i b u t e > < A t t r i b u t e > < A n n o t a t i o n s > < A n n o t a t i o n > < N a m e > F o r m a t < / N a m e > < V a l u e > < F o r m a t   F o r m a t = " D a t e T i m e G e n e r a l "   x m l n s = " "   / > < / V a l u e > < / A n n o t a t i o n > < / A n n o t a t i o n s > < I D > D a t e < / I D > < N a m e > D a t e < / N a m e > < K e y C o l u m n s > < K e y C o l u m n > < D a t a T y p e > D a t e < / D a t a T y p e > < N u l l P r o c e s s i n g > P r e s e r v e < / N u l l P r o c e s s i n g > < / K e y C o l u m n > < / K e y C o l u m n s > < N a m e C o l u m n > < D a t a T y p e > W C h a r < / D a t a T y p e > < N u l l P r o c e s s i n g > Z e r o O r B l a n k < / N u l l P r o c e s s i n g > < / N a m e C o l u m n > < O r d e r B y > K e y < / O r d e r B y > < d d l 3 0 0 _ 3 0 0 : F o r m a t S t r i n g > G e n e r a l   D a t e < / d d l 3 0 0 _ 3 0 0 : F o r m a t S t r i n g > < / A t t r i b u t e > < A t t r i b u t e > < A n n o t a t i o n s > < A n n o t a t i o n > < N a m e > F o r m a t < / N a m e > < V a l u e > < F o r m a t   F o r m a t = " G e n e r a l "   x m l n s = " "   / > < / V a l u e > < / A n n o t a t i o n > < / A n n o t a t i o n s > < I D > W e e k < / I D > < N a m e > W e e k < / 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s > < I D > D a y < / I D > < N a m e > D a y 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 W e e k e n d < / I D > < N a m e > W e e k e n d < / 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 I < / V a l u e > < / A n n o t a t i o n > < / A n n o t a t i o n s > < I D > B a n k   h o l i d a y < / I D > < N a m e > B a n k   h o l i d a y 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 A   E   c l o s u r e s < / I D > < N a m e > A   E   c l o s u r e s 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  E   d i v e r t s < / I D > < N a m e > A   E   d i v e r t s 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 c o r e   b e d s   a v a i l < / I D > < N a m e > G   A   c o r e 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 e s c a l a t i o n   b e d s   a v a i l < / I D > < N a m e > G   A   e s c a l a t i o n 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 t o t a l   b e d s   a v a i l < / I D > < N a m e > G   A   t o t a l 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 t o t a l   b e d s   o c c u p i e d < / I D > < N a m e > G   A   t o t a l   b e d s   o c c u p i e d < / 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 7   d a y s < / I D > < N a m e > B e d s   o c c   o v e r   7   d a y s 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 2 1   d a y s < / I D > < N a m e > B e d s   o c c   o v e r   2 1   d a y s 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 c l o s e d   n o r o v i r u s < / I D > < N a m e > B e d s   c l o s e d   n o r o v i r u s 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 c l o s e d   n o r o v i u s   u n o c c < / I D > < N a m e > B e d s   c l o s e d   n o r o v i u s   u n o c c 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 A d u l t   C C   b e d s   a v a i l < / I D > < N a m e > A d u l t   C C 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 A d u l t   C C   b e d s   o c c < / I D > < N a m e > A d u l t   C C   b e d s 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 P a e d   I n t   C a r e   A v a i l < / I D > < N a m e > P a e d   I n t   C a r e 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 P a e d   I n t   C a r e   O c c < / I D > < N a m e > P a e d   I n t   C a r e 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 N e o   I n t   C a r e   A v a i l < / I D > < N a m e > N e o   I n t   C a r e 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 N e o   I n t   C a r e   o c c < / I D > < N a m e > N e o   I n t   C a r e 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 a r r i v a l s < / I D > < N a m e > A m b   a r r i v a l s 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 d e l a y s   3 0 - 6 0   m i n s < / I D > < N a m e > A m b   d e l a y s   3 0 - 6 0   m i n s 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 d e l a y s   o v e r   6 0   m i n s < / I D > < N a m e > A m b   d e l a y s   o v e r   6 0   m i n s 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 1 4   d a y s < / I D > < N a m e > B e d s   o c c   o v e r   1 4   d a y s < / N a m e > < K e y C o l u m n s > < K e y C o l u m n > < D a t a T y p e > B i g I n t < / 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 R e g i o n < / A t t r i b u t e I D > < O v e r r i d e B e h a v i o r > N o n e < / O v e r r i d e B e h a v i o r > < N a m e > R e g i o n < / N a m e > < / A t t r i b u t e R e l a t i o n s h i p > < A t t r i b u t e R e l a t i o n s h i p > < A t t r i b u t e I D > C o d e < / A t t r i b u t e I D > < O v e r r i d e B e h a v i o r > N o n e < / O v e r r i d e B e h a v i o r > < N a m e > C o d e < / N a m e > < / A t t r i b u t e R e l a t i o n s h i p > < A t t r i b u t e R e l a t i o n s h i p > < A t t r i b u t e I D > N a m e < / A t t r i b u t e I D > < O v e r r i d e B e h a v i o r > N o n e < / O v e r r i d e B e h a v i o r > < N a m e > N a m e _ < / N a m e > < / A t t r i b u t e R e l a t i o n s h i p > < A t t r i b u t e R e l a t i o n s h i p > < A t t r i b u t e I D > Y e a r < / A t t r i b u t e I D > < O v e r r i d e B e h a v i o r > N o n e < / O v e r r i d e B e h a v i o r > < N a m e > Y e a r < / N a m e > < / A t t r i b u t e R e l a t i o n s h i p > < A t t r i b u t e R e l a t i o n s h i p > < A t t r i b u t e I D > D a t e < / A t t r i b u t e I D > < O v e r r i d e B e h a v i o r > N o n e < / O v e r r i d e B e h a v i o r > < N a m e > D a t e < / N a m e > < / A t t r i b u t e R e l a t i o n s h i p > < A t t r i b u t e R e l a t i o n s h i p > < A t t r i b u t e I D > W e e k < / A t t r i b u t e I D > < O v e r r i d e B e h a v i o r > N o n e < / O v e r r i d e B e h a v i o r > < N a m e > W e e k < / N a m e > < / A t t r i b u t e R e l a t i o n s h i p > < A t t r i b u t e R e l a t i o n s h i p > < A t t r i b u t e I D > D a y < / A t t r i b u t e I D > < O v e r r i d e B e h a v i o r > N o n e < / O v e r r i d e B e h a v i o r > < N a m e > D a y < / N a m e > < / A t t r i b u t e R e l a t i o n s h i p > < A t t r i b u t e R e l a t i o n s h i p > < A t t r i b u t e I D > W e e k e n d < / A t t r i b u t e I D > < O v e r r i d e B e h a v i o r > N o n e < / O v e r r i d e B e h a v i o r > < N a m e > W e e k e n d < / N a m e > < / A t t r i b u t e R e l a t i o n s h i p > < A t t r i b u t e R e l a t i o n s h i p > < A t t r i b u t e I D > B a n k   h o l i d a y < / A t t r i b u t e I D > < O v e r r i d e B e h a v i o r > N o n e < / O v e r r i d e B e h a v i o r > < N a m e > B a n k   h o l i d a y < / N a m e > < / A t t r i b u t e R e l a t i o n s h i p > < A t t r i b u t e R e l a t i o n s h i p > < A t t r i b u t e I D > A   E   c l o s u r e s < / A t t r i b u t e I D > < O v e r r i d e B e h a v i o r > N o n e < / O v e r r i d e B e h a v i o r > < N a m e > A   E   c l o s u r e s < / N a m e > < / A t t r i b u t e R e l a t i o n s h i p > < A t t r i b u t e R e l a t i o n s h i p > < A t t r i b u t e I D > A   E   d i v e r t s < / A t t r i b u t e I D > < O v e r r i d e B e h a v i o r > N o n e < / O v e r r i d e B e h a v i o r > < N a m e > A   E   d i v e r t s < / N a m e > < / A t t r i b u t e R e l a t i o n s h i p > < A t t r i b u t e R e l a t i o n s h i p > < A t t r i b u t e I D > G   A   c o r e   b e d s   a v a i l < / A t t r i b u t e I D > < O v e r r i d e B e h a v i o r > N o n e < / O v e r r i d e B e h a v i o r > < N a m e > G   A   c o r e   b e d s   a v a i l < / N a m e > < / A t t r i b u t e R e l a t i o n s h i p > < A t t r i b u t e R e l a t i o n s h i p > < A t t r i b u t e I D > G   A   e s c a l a t i o n   b e d s   a v a i l < / A t t r i b u t e I D > < O v e r r i d e B e h a v i o r > N o n e < / O v e r r i d e B e h a v i o r > < N a m e > G   A   e s c a l a t i o n   b e d s   a v a i l < / N a m e > < / A t t r i b u t e R e l a t i o n s h i p > < A t t r i b u t e R e l a t i o n s h i p > < A t t r i b u t e I D > G   A   t o t a l   b e d s   a v a i l < / A t t r i b u t e I D > < O v e r r i d e B e h a v i o r > N o n e < / O v e r r i d e B e h a v i o r > < N a m e > G   A   t o t a l   b e d s   a v a i l < / N a m e > < / A t t r i b u t e R e l a t i o n s h i p > < A t t r i b u t e R e l a t i o n s h i p > < A t t r i b u t e I D > G   A   t o t a l   b e d s   o c c u p i e d < / A t t r i b u t e I D > < O v e r r i d e B e h a v i o r > N o n e < / O v e r r i d e B e h a v i o r > < N a m e > G   A   t o t a l   b e d s   o c c u p i e d < / N a m e > < / A t t r i b u t e R e l a t i o n s h i p > < A t t r i b u t e R e l a t i o n s h i p > < A t t r i b u t e I D > B e d s   o c c   o v e r   7   d a y s < / A t t r i b u t e I D > < O v e r r i d e B e h a v i o r > N o n e < / O v e r r i d e B e h a v i o r > < N a m e > B e d s   o c c   o v e r   7   d a y s < / N a m e > < / A t t r i b u t e R e l a t i o n s h i p > < A t t r i b u t e R e l a t i o n s h i p > < A t t r i b u t e I D > B e d s   o c c   o v e r   2 1   d a y s < / A t t r i b u t e I D > < O v e r r i d e B e h a v i o r > N o n e < / O v e r r i d e B e h a v i o r > < N a m e > B e d s   o c c   o v e r   2 1   d a y s < / N a m e > < / A t t r i b u t e R e l a t i o n s h i p > < A t t r i b u t e R e l a t i o n s h i p > < A t t r i b u t e I D > B e d s   c l o s e d   n o r o v i r u s < / A t t r i b u t e I D > < O v e r r i d e B e h a v i o r > N o n e < / O v e r r i d e B e h a v i o r > < N a m e > B e d s   c l o s e d   n o r o v i r u s < / N a m e > < / A t t r i b u t e R e l a t i o n s h i p > < A t t r i b u t e R e l a t i o n s h i p > < A t t r i b u t e I D > B e d s   c l o s e d   n o r o v i u s   u n o c c < / A t t r i b u t e I D > < O v e r r i d e B e h a v i o r > N o n e < / O v e r r i d e B e h a v i o r > < N a m e > B e d s   c l o s e d   n o r o v i u s   u n o c c < / N a m e > < / A t t r i b u t e R e l a t i o n s h i p > < A t t r i b u t e R e l a t i o n s h i p > < A t t r i b u t e I D > A d u l t   C C   b e d s   a v a i l < / A t t r i b u t e I D > < O v e r r i d e B e h a v i o r > N o n e < / O v e r r i d e B e h a v i o r > < N a m e > A d u l t   C C   b e d s   a v a i l < / N a m e > < / A t t r i b u t e R e l a t i o n s h i p > < A t t r i b u t e R e l a t i o n s h i p > < A t t r i b u t e I D > A d u l t   C C   b e d s   o c c < / A t t r i b u t e I D > < O v e r r i d e B e h a v i o r > N o n e < / O v e r r i d e B e h a v i o r > < N a m e > A d u l t   C C   b e d s   o c c < / N a m e > < / A t t r i b u t e R e l a t i o n s h i p > < A t t r i b u t e R e l a t i o n s h i p > < A t t r i b u t e I D > P a e d   I n t   C a r e   A v a i l < / A t t r i b u t e I D > < O v e r r i d e B e h a v i o r > N o n e < / O v e r r i d e B e h a v i o r > < N a m e > P a e d   I n t   C a r e   A v a i l < / N a m e > < / A t t r i b u t e R e l a t i o n s h i p > < A t t r i b u t e R e l a t i o n s h i p > < A t t r i b u t e I D > P a e d   I n t   C a r e   O c c < / A t t r i b u t e I D > < O v e r r i d e B e h a v i o r > N o n e < / O v e r r i d e B e h a v i o r > < N a m e > P a e d   I n t   C a r e   O c c < / N a m e > < / A t t r i b u t e R e l a t i o n s h i p > < A t t r i b u t e R e l a t i o n s h i p > < A t t r i b u t e I D > N e o   I n t   C a r e   A v a i l < / A t t r i b u t e I D > < O v e r r i d e B e h a v i o r > N o n e < / O v e r r i d e B e h a v i o r > < N a m e > N e o   I n t   C a r e   A v a i l < / N a m e > < / A t t r i b u t e R e l a t i o n s h i p > < A t t r i b u t e R e l a t i o n s h i p > < A t t r i b u t e I D > N e o   I n t   C a r e   o c c < / A t t r i b u t e I D > < O v e r r i d e B e h a v i o r > N o n e < / O v e r r i d e B e h a v i o r > < N a m e > N e o   I n t   C a r e   o c c < / N a m e > < / A t t r i b u t e R e l a t i o n s h i p > < A t t r i b u t e R e l a t i o n s h i p > < A t t r i b u t e I D > A m b   a r r i v a l s < / A t t r i b u t e I D > < O v e r r i d e B e h a v i o r > N o n e < / O v e r r i d e B e h a v i o r > < N a m e > A m b   a r r i v a l s < / N a m e > < / A t t r i b u t e R e l a t i o n s h i p > < A t t r i b u t e R e l a t i o n s h i p > < A t t r i b u t e I D > A m b   d e l a y s   3 0 - 6 0   m i n s < / A t t r i b u t e I D > < O v e r r i d e B e h a v i o r > N o n e < / O v e r r i d e B e h a v i o r > < N a m e > A m b   d e l a y s   3 0 - 6 0   m i n s < / N a m e > < / A t t r i b u t e R e l a t i o n s h i p > < A t t r i b u t e R e l a t i o n s h i p > < A t t r i b u t e I D > A m b   d e l a y s   o v e r   6 0   m i n s < / A t t r i b u t e I D > < O v e r r i d e B e h a v i o r > N o n e < / O v e r r i d e B e h a v i o r > < N a m e > A m b   d e l a y s   o v e r   6 0   m i n s < / N a m e > < / A t t r i b u t e R e l a t i o n s h i p > < A t t r i b u t e R e l a t i o n s h i p > < A t t r i b u t e I D > B e d s   o c c   o v e r   1 4   d a y s < / A t t r i b u t e I D > < O v e r r i d e B e h a v i o r > N o n e < / O v e r r i d e B e h a v i o r > < N a m e > B e d s   o c c   o v e r   1 4   d a y s < / 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L a n g u a g e > 2 0 5 7 < / L a n g u a g e > < D i m e n s i o n s > < D i m e n s i o n > < I D > W i n t e r   d a i l y   s i t r e p s _ 1 d f 8 1 2 b b - 9 f c 3 - 4 6 7 4 - 8 d 4 1 - 6 0 c 6 7 2 6 a 8 e f 3 < / I D > < N a m e > W i n t e r   d a i l y   s i t r e p s < / N a m e > < D i m e n s i o n I D > W i n t e r   d a i l y   s i t r e p s _ 1 d f 8 1 2 b b - 9 f c 3 - 4 6 7 4 - 8 d 4 1 - 6 0 c 6 7 2 6 a 8 e f 3 < / D i m e n s i o n I D > < A t t r i b u t e s > < A t t r i b u t e > < A t t r i b u t e I D > R o w N u m b e r < / A t t r i b u t e I D > < A t t r i b u t e H i e r a r c h y V i s i b l e > f a l s e < / A t t r i b u t e H i e r a r c h y V i s i b l e > < / A t t r i b u t e > < A t t r i b u t e > < A t t r i b u t e I D > I D < / A t t r i b u t e I D > < / A t t r i b u t e > < A t t r i b u t e > < A t t r i b u t e I D > c r i _ i d < / A t t r i b u t e I D > < / A t t r i b u t e > < A t t r i b u t e > < A t t r i b u t e I D > d r _ i d < / A t t r i b u t e I D > < / A t t r i b u t e > < A t t r i b u t e > < A t t r i b u t e I D > o r g _ i d < / A t t r i b u t e I D > < / A t t r i b u t e > < A t t r i b u t e > < A t t r i b u t e I D > c r i _ d a t a p e r i o d s t a r t < / A t t r i b u t e I D > < / A t t r i b u t e > < A t t r i b u t e > < A t t r i b u t e I D > C o d e < / A t t r i b u t e I D > < / A t t r i b u t e > < A t t r i b u t e > < A t t r i b u t e I D > N a m e < / A t t r i b u t e I D > < / A t t r i b u t e > < A t t r i b u t e > < A t t r i b u t e I D > D a t e < / A t t r i b u t e I D > < / A t t r i b u t e > < A t t r i b u t e > < A t t r i b u t e I D > W e e k < / A t t r i b u t e I D > < / A t t r i b u t e > < A t t r i b u t e > < A t t r i b u t e I D > D a y < / A t t r i b u t e I D > < / A t t r i b u t e > < A t t r i b u t e > < A t t r i b u t e I D > B a n k   h o l i d a y < / A t t r i b u t e I D > < / A t t r i b u t e > < A t t r i b u t e > < A t t r i b u t e I D > A E   c l o s u r e s < / A t t r i b u t e I D > < / A t t r i b u t e > < A t t r i b u t e > < A t t r i b u t e I D > A E   d i v e r t s < / A t t r i b u t e I D > < / A t t r i b u t e > < A t t r i b u t e > < A t t r i b u t e I D > A E   t y p e   1   a t t e n d a n c e s < / A t t r i b u t e I D > < / A t t r i b u t e > < A t t r i b u t e > < A t t r i b u t e I D > A E   t y p e   2   a t t e n d a n c e s < / A t t r i b u t e I D > < / A t t r i b u t e > < A t t r i b u t e > < A t t r i b u t e I D > A E   t y p e   3   a t t e n d a n c e s < / A t t r i b u t e I D > < / A t t r i b u t e > < A t t r i b u t e > < A t t r i b u t e I D > A E   t o t a l   a t t e n d a n c e s < / A t t r i b u t e I D > < / A t t r i b u t e > < A t t r i b u t e > < A t t r i b u t e I D > E m e r g e n c y   a d m i s s i o n s < / A t t r i b u t e I D > < / A t t r i b u t e > < A t t r i b u t e > < A t t r i b u t e I D > G A   c o r e   b e d s   a v a i l < / A t t r i b u t e I D > < / A t t r i b u t e > < A t t r i b u t e > < A t t r i b u t e I D > G A   e s c a l a t i o n   b e d s   a v a i l < / A t t r i b u t e I D > < / A t t r i b u t e > < A t t r i b u t e > < A t t r i b u t e I D > G A   t o t a l   b e d s   a v a i l < / A t t r i b u t e I D > < / A t t r i b u t e > < A t t r i b u t e > < A t t r i b u t e I D > G A   t o t a l   b e d s   o c c u p i e d < / A t t r i b u t e I D > < / A t t r i b u t e > < A t t r i b u t e > < A t t r i b u t e I D > B e d s   c l o s e d   n o r o v i r u s < / A t t r i b u t e I D > < / A t t r i b u t e > < A t t r i b u t e > < A t t r i b u t e I D > B e d s   c l o s e d   n o r o v i u s   u n o c c < / A t t r i b u t e I D > < / A t t r i b u t e > < A t t r i b u t e > < A t t r i b u t e I D > A d u l t   C C   b e d s   a v a i l < / A t t r i b u t e I D > < / A t t r i b u t e > < A t t r i b u t e > < A t t r i b u t e I D > A d u l t   C C   b e d s   o c c < / A t t r i b u t e I D > < / A t t r i b u t e > < A t t r i b u t e > < A t t r i b u t e I D > P a e d   I n t   C a r e   A v a i l < / A t t r i b u t e I D > < / A t t r i b u t e > < A t t r i b u t e > < A t t r i b u t e I D > P a e d   I n t   C a r e   O c c < / A t t r i b u t e I D > < / A t t r i b u t e > < A t t r i b u t e > < A t t r i b u t e I D > N e o   I n t   C a r e   A v a i l < / A t t r i b u t e I D > < / A t t r i b u t e > < A t t r i b u t e > < A t t r i b u t e I D > N e o   I n t   C a r e   o c c < / A t t r i b u t e I D > < / A t t r i b u t e > < A t t r i b u t e > < A t t r i b u t e I D > O P E L   3   o r   a b o v e < / A t t r i b u t e I D > < / A t t r i b u t e > < A t t r i b u t e > < A t t r i b u t e I D > W e e k e n d < / A t t r i b u t e I D > < / A t t r i b u t e > < A t t r i b u t e > < A t t r i b u t e I D > R e g i o n < / A t t r i b u t e I D > < / A t t r i b u t e > < A t t r i b u t e > < A t t r i b u t e I D > Y e a r < / A t t r i b u t e I D > < / A t t r i b u t e > < A t t r i b u t e > < A t t r i b u t e I D > B e d s   o c c   o v e r   7   d a y s < / A t t r i b u t e I D > < / A t t r i b u t e > < A t t r i b u t e > < A t t r i b u t e I D > B e d s   o c c   o v e r   2 1   d a y s < / A t t r i b u t e I D > < / A t t r i b u t e > < A t t r i b u t e > < A t t r i b u t e I D > A m b   a r r i v a l s < / A t t r i b u t e I D > < / A t t r i b u t e > < A t t r i b u t e > < A t t r i b u t e I D > A m b   d e l a y s   3 0 - 6 0   m i n s < / A t t r i b u t e I D > < / A t t r i b u t e > < A t t r i b u t e > < A t t r i b u t e I D > A m b   d e l a y s   o v e r   6 0   m i n s < / A t t r i b u t e I D > < / A t t r i b u t e > < A t t r i b u t e > < A t t r i b u t e I D > C a l c u l a t e d C o l u m n 1 < / A t t r i b u t e I D > < / A t t r i b u t e > < A t t r i b u t e > < A t t r i b u t e I D > C a l c u l a t e d C o l u m n 1   1 < / A t t r i b u t e I D > < / A t t r i b u t e > < A t t r i b u t e > < A t t r i b u t e I D > B e d s   o c c   o v e r   1 4   d a y s < / A t t r i b u t e I D > < / A t t r i b u t e > < / A t t r i b u t e s > < / D i m e n s i o n > < D i m e n s i o n > < I D > W i n t e r   b e d   o c c   o v e r   1 4   d a y s < / I D > < N a m e > W i n t e r   b e d   o c c   o v e r   1 4   d a y s < / N a m e > < D i m e n s i o n I D > W i n t e r   b e d   o c c   o v e r   1 4   d a y s < / D i m e n s i o n I D > < A t t r i b u t e s > < A t t r i b u t e > < A t t r i b u t e I D > R e g i o n < / A t t r i b u t e I D > < / A t t r i b u t e > < A t t r i b u t e > < A t t r i b u t e I D > C o d e < / A t t r i b u t e I D > < / A t t r i b u t e > < A t t r i b u t e > < A t t r i b u t e I D > N a m e < / A t t r i b u t e I D > < / A t t r i b u t e > < A t t r i b u t e > < A t t r i b u t e I D > Y e a r < / A t t r i b u t e I D > < / A t t r i b u t e > < A t t r i b u t e > < A t t r i b u t e I D > D a t e < / A t t r i b u t e I D > < / A t t r i b u t e > < A t t r i b u t e > < A t t r i b u t e I D > W e e k < / A t t r i b u t e I D > < / A t t r i b u t e > < A t t r i b u t e > < A t t r i b u t e I D > D a y < / A t t r i b u t e I D > < / A t t r i b u t e > < A t t r i b u t e > < A t t r i b u t e I D > W e e k e n d < / A t t r i b u t e I D > < / A t t r i b u t e > < A t t r i b u t e > < A t t r i b u t e I D > B a n k   h o l i d a y < / A t t r i b u t e I D > < / A t t r i b u t e > < A t t r i b u t e > < A t t r i b u t e I D > A   E   c l o s u r e s < / A t t r i b u t e I D > < / A t t r i b u t e > < A t t r i b u t e > < A t t r i b u t e I D > A   E   d i v e r t s < / A t t r i b u t e I D > < / A t t r i b u t e > < A t t r i b u t e > < A t t r i b u t e I D > G   A   c o r e   b e d s   a v a i l < / A t t r i b u t e I D > < / A t t r i b u t e > < A t t r i b u t e > < A t t r i b u t e I D > G   A   e s c a l a t i o n   b e d s   a v a i l < / A t t r i b u t e I D > < / A t t r i b u t e > < A t t r i b u t e > < A t t r i b u t e I D > G   A   t o t a l   b e d s   a v a i l < / A t t r i b u t e I D > < / A t t r i b u t e > < A t t r i b u t e > < A t t r i b u t e I D > G   A   t o t a l   b e d s   o c c u p i e d < / A t t r i b u t e I D > < / A t t r i b u t e > < A t t r i b u t e > < A t t r i b u t e I D > B e d s   o c c   o v e r   7   d a y s < / A t t r i b u t e I D > < / A t t r i b u t e > < A t t r i b u t e > < A t t r i b u t e I D > B e d s   o c c   o v e r   2 1   d a y s < / A t t r i b u t e I D > < / A t t r i b u t e > < A t t r i b u t e > < A t t r i b u t e I D > B e d s   c l o s e d   n o r o v i r u s < / A t t r i b u t e I D > < / A t t r i b u t e > < A t t r i b u t e > < A t t r i b u t e I D > B e d s   c l o s e d   n o r o v i u s   u n o c c < / A t t r i b u t e I D > < / A t t r i b u t e > < A t t r i b u t e > < A t t r i b u t e I D > A d u l t   C C   b e d s   a v a i l < / A t t r i b u t e I D > < / A t t r i b u t e > < A t t r i b u t e > < A t t r i b u t e I D > A d u l t   C C   b e d s   o c c < / A t t r i b u t e I D > < / A t t r i b u t e > < A t t r i b u t e > < A t t r i b u t e I D > P a e d   I n t   C a r e   A v a i l < / A t t r i b u t e I D > < / A t t r i b u t e > < A t t r i b u t e > < A t t r i b u t e I D > P a e d   I n t   C a r e   O c c < / A t t r i b u t e I D > < / A t t r i b u t e > < A t t r i b u t e > < A t t r i b u t e I D > N e o   I n t   C a r e   A v a i l < / A t t r i b u t e I D > < / A t t r i b u t e > < A t t r i b u t e > < A t t r i b u t e I D > N e o   I n t   C a r e   o c c < / A t t r i b u t e I D > < / A t t r i b u t e > < A t t r i b u t e > < A t t r i b u t e I D > A m b   a r r i v a l s < / A t t r i b u t e I D > < / A t t r i b u t e > < A t t r i b u t e > < A t t r i b u t e I D > A m b   d e l a y s   3 0 - 6 0   m i n s < / A t t r i b u t e I D > < / A t t r i b u t e > < A t t r i b u t e > < A t t r i b u t e I D > A m b   d e l a y s   o v e r   6 0   m i n s < / A t t r i b u t e I D > < / A t t r i b u t e > < A t t r i b u t e > < A t t r i b u t e I D > B e d s   o c c   o v e r   1 4   d a y s < / A t t r i b u t e I D > < / A t t r i b u t e > < A t t r i b u t e > < A t t r i b u t e I D > R o w N u m b e r < / A t t r i b u t e I D > < A t t r i b u t e H i e r a r c h y V i s i b l e > f a l s e < / A t t r i b u t e H i e r a r c h y V i s i b l e > < / A t t r i b u t e > < / A t t r i b u t e s > < / D i m e n s i o n > < / D i m e n s i o n s > < M e a s u r e G r o u p s > < M e a s u r e G r o u p > < I D > W i n t e r   d a i l y   s i t r e p s _ 1 d f 8 1 2 b b - 9 f c 3 - 4 6 7 4 - 8 d 4 1 - 6 0 c 6 7 2 6 a 8 e f 3 < / I D > < N a m e > W i n t e r   d a i l y   s i t r e p s < / N a m e > < M e a s u r e s > < M e a s u r e > < I D > W i n t e r   d a i l y   s i t r e p s _ 1 d f 8 1 2 b b - 9 f c 3 - 4 6 7 4 - 8 d 4 1 - 6 0 c 6 7 2 6 a 8 e f 3 < / I D > < N a m e > _ C o u n t   W i n t e r   d a i l y   s i t r e p s < / N a m e > < A g g r e g a t e F u n c t i o n > C o u n t < / A g g r e g a t e F u n c t i o n > < D a t a T y p e > B i g I n t < / D a t a T y p e > < S o u r c e > < D a t a T y p e > B i g I n t < / D a t a T y p e > < D a t a S i z e > 8 < / D a t a S i z e > < S o u r c e   x s i : t y p e = " R o w B i n d i n g " > < T a b l e I D > W i n t e r _ x 0 0 2 0 _ d a i l y _ x 0 0 2 0 _ s i t r e p s _ 1 d f 8 1 2 b b - 9 f c 3 - 4 6 7 4 - 8 d 4 1 - 6 0 c 6 7 2 6 a 8 e f 3 < / 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 W i n t e r   d a i l y   s i t r e p s _ 1 d f 8 1 2 b b - 9 f c 3 - 4 6 7 4 - 8 d 4 1 - 6 0 c 6 7 2 6 a 8 e f 3 < / C u b e D i m e n s i o n I D > < A t t r i b u t e s > < A t t r i b u t e > < A t t r i b u t e I D > R o w N u m b e r < / A t t r i b u t e I D > < K e y C o l u m n s > < K e y C o l u m n > < D a t a T y p e > I n t e g e r < / D a t a T y p e > < S o u r c e   x s i : t y p e = " C o l u m n B i n d i n g " > < T a b l e I D > W i n t e r _ x 0 0 2 0 _ d a i l y _ x 0 0 2 0 _ s i t r e p s < / T a b l e I D > < C o l u m n I D > R o w N u m b e r < / C o l u m n I D > < / S o u r c e > < / K e y C o l u m n > < / K e y C o l u m n s > < T y p e > G r a n u l a r i t y < / T y p e > < / A t t r i b u t e > < A t t r i b u t e > < A t t r i b u t e I D > I D < / A t t r i b u t e I D > < 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A t t r i b u t e > < A t t r i b u t e > < A t t r i b u t e I D > c r i _ i d < / A t t r i b u t e I D > < 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A t t r i b u t e > < A t t r i b u t e > < A t t r i b u t e I D > d r _ i d < / A t t r i b u t e I D > < 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A t t r i b u t e > < A t t r i b u t e > < A t t r i b u t e I D > o r g _ i d < / A t t r i b u t e I D > < 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A t t r i b u t e > < A t t r i b u t e > < A t t r i b u t e I D > c r i _ d a t a p e r i o d s t a r t < / A t t r i b u t e I D > < 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A t t r i b u t e > < A t t r i b u t e > < A t t r i b u t e I D > C o d e < / A t t r i b u t e I D > < 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A t t r i b u t e > < A t t r i b u t e > < A t t r i b u t e I D > N a m e < / A t t r i b u t e I D > < 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A t t r i b u t e > < A t t r i b u t e > < A t t r i b u t e I D > D a t e < / A t t r i b u t e I D > < 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A t t r i b u t e > < A t t r i b u t e > < A t t r i b u t e I D > W e e k < / A t t r i b u t e I D > < 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A t t r i b u t e > < A t t r i b u t e > < A t t r i b u t e I D > D a y < / A t t r i b u t e I D > < 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A t t r i b u t e > < A t t r i b u t e > < A t t r i b u t e I D > B a n k   h o l i d a y < / A t t r i b u t e I D > < 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A t t r i b u t e > < A t t r i b u t e > < A t t r i b u t e I D > A E   c l o s u r e s 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A t t r i b u t e > < A t t r i b u t e > < A t t r i b u t e I D > A E   d i v e r t s 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A t t r i b u t e > < A t t r i b u t e > < A t t r i b u t e I D > A E   t y p e   1 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A t t r i b u t e > < A t t r i b u t e > < A t t r i b u t e I D > A E   t y p e   2 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A t t r i b u t e > < A t t r i b u t e > < A t t r i b u t e I D > A E   t y p e   3 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A t t r i b u t e > < A t t r i b u t e > < A t t r i b u t e I D > A E   t o t a l 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A t t r i b u t e > < A t t r i b u t e > < A t t r i b u t e I D > E m e r g e n c y   a d m i s s i o n s < / A t t r i b u t e I D > < 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A t t r i b u t e > < A t t r i b u t e > < A t t r i b u t e I D > G A   c o r e 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A t t r i b u t e > < A t t r i b u t e > < A t t r i b u t e I D > G A   e s c a l a t i o n 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A t t r i b u t e > < A t t r i b u t e > < A t t r i b u t e I D > G A   t o t a l 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A t t r i b u t e > < A t t r i b u t e > < A t t r i b u t e I D > G A   t o t a l   b e d s   o c c u p i e d < / 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A t t r i b u t e > < A t t r i b u t e > < A t t r i b u t e I D > B e d s   c l o s e d   n o r o v i r u s < / 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A t t r i b u t e > < A t t r i b u t e > < A t t r i b u t e I D > B e d s   c l o s e d   n o r o v i u s   u n o c c < / 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A t t r i b u t e > < A t t r i b u t e > < A t t r i b u t e I D > A d u l t   C C   b e d s   a v a i l < / 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A t t r i b u t e > < A t t r i b u t e > < A t t r i b u t e I D > A d u l t   C C   b e d s   o c c < / 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A t t r i b u t e > < A t t r i b u t e > < A t t r i b u t e I D > P a e d 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A t t r i b u t e > < A t t r i b u t e > < A t t r i b u t e I D > P a e d   I n t   C a r e   O c c < / 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A t t r i b u t e > < A t t r i b u t e > < A t t r i b u t e I D > N e o 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A t t r i b u t e > < A t t r i b u t e > < A t t r i b u t e I D > N e o   I n t   C a r e   o c c < / 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A t t r i b u t e > < A t t r i b u t e > < A t t r i b u t e I D > O P E L   3   o r   a b o v e < / A t t r i b u t e I D > < 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A t t r i b u t e > < A t t r i b u t e > < A t t r i b u t e I D > W e e k e n d < / A t t r i b u t e I D > < 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A t t r i b u t e > < A t t r i b u t e > < A t t r i b u t e I D > R e g i o n < / A t t r i b u t e I D > < 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A t t r i b u t e > < A t t r i b u t e > < A t t r i b u t e I D > Y e a r < / A t t r i b u t e I D > < 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A t t r i b u t e > < A t t r i b u t e > < A t t r i b u t e I D > B e d s   o c c   o v e r   7 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A t t r i b u t e > < A t t r i b u t e > < A t t r i b u t e I D > B e d s   o c c   o v e r   2 1 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A t t r i b u t e > < A t t r i b u t e > < A t t r i b u t e I D > A m b   a r r i v a l s < / A t t r i b u t e I D > < 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A t t r i b u t e > < A t t r i b u t e > < A t t r i b u t e I D > A m b   d e l a y s   3 0 - 6 0 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A t t r i b u t e > < A t t r i b u t e > < A t t r i b u t e I D > A m b   d e l a y s   o v e r   6 0 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A t t r i b u t e > < A t t r i b u t e > < A t t r i b u t e I D > C a l c u l a t e d C o l u m n 1 < / A t t r i b u t e I D > < K e y C o l u m n s > < K e y C o l u m n > < D a t a T y p e > E m p t y < / D a t a T y p e > < S o u r c e   x s i : t y p e = " d d l 2 0 0 _ 2 0 0 : E x p r e s s i o n B i n d i n g " > < E x p r e s s i o n > < / E x p r e s s i o n > < / S o u r c e > < / K e y C o l u m n > < / K e y C o l u m n s > < / A t t r i b u t e > < A t t r i b u t e > < A t t r i b u t e I D > C a l c u l a t e d C o l u m n 1   1 < / A t t r i b u t e I D > < K e y C o l u m n s > < K e y C o l u m n > < D a t a T y p e > E m p t y < / D a t a T y p e > < S o u r c e   x s i : t y p e = " d d l 2 0 0 _ 2 0 0 : E x p r e s s i o n B i n d i n g " > < E x p r e s s i o n > < / E x p r e s s i o n > < / S o u r c e > < / K e y C o l u m n > < / K e y C o l u m n s > < / A t t r i b u t e > < A t t r i b u t e > < A t t r i b u t e I D > B e d s   o c c   o v e r   1 4   d a y s < / A t t r i b u t e I D > < K e y C o l u m n s > < K e y C o l u m n > < D a t a T y p e > D o u b l e < / D a t a T y p e > < D a t a S i z e > - 1 < / D a t a S i z e > < N u l l P r o c e s s i n g > P r e s e r v e < / N u l l P r o c e s s i n g > < S o u r c e   x s i : t y p e = " C o l u m n B i n d i n g " > < T a b l e I D > W i n t e r _ x 0 0 2 0 _ d a i l y _ x 0 0 2 0 _ s i t r e p s _ 1 d f 8 1 2 b b - 9 f c 3 - 4 6 7 4 - 8 d 4 1 - 6 0 c 6 7 2 6 a 8 e f 3 < / T a b l e I D > < C o l u m n I D > B e d s _ x 0 0 2 0 _ o c c _ x 0 0 2 0 _ o v e r _ x 0 0 2 0 _ 1 4 _ x 0 0 2 0 _ d a y s < / C o l u m n I D > < / S o u r c e > < / K e y C o l u m n > < / K e y C o l u m n s > < / A t t r i b u t e > < / A t t r i b u t e s > < d d l 2 0 0 _ 2 0 0 : S h a r e D i m e n s i o n S t o r a g e > S h a r e d < / d d l 2 0 0 _ 2 0 0 : S h a r e D i m e n s i o n S t o r a g e > < / D i m e n s i o n > < / D i m e n s i o n s > < P a r t i t i o n s > < P a r t i t i o n > < I D > W i n t e r   d a i l y   s i t r e p s _ 1 d f 8 1 2 b b - 9 f c 3 - 4 6 7 4 - 8 d 4 1 - 6 0 c 6 7 2 6 a 8 e f 3 < / I D > < N a m e > W i n t e r   d a i l y   s i t r e p s < / 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  / & g t ;  
     & l t ; C o l u m n A c c u r a c y   / & g t ;  
     & l t ; C o l u m n C u r r e n c y S y m b o l   / & g t ;  
     & l t ; C o l u m n P o s i t i v e P a t t e r n   / & g t ;  
     & l t ; C o l u m n N e g a t i v e P a t t e r n   / & g t ;  
     & l t ; C o l u m n W i d t h s & g t ;  
         & l t ; i t e m & g t ;  
             & l t ; k e y & g t ;  
                 & l t ; s t r i n g & g t ; I D & l t ; / s t r i n g & g t ;  
             & l t ; / k e y & g t ;  
             & l t ; v a l u e & g t ;  
                 & l t ; i n t & g t ; 7 2 & l t ; / i n t & g t ;  
             & l t ; / v a l u e & g t ;  
         & l t ; / i t e m & g t ;  
         & l t ; i t e m & g t ;  
             & l t ; k e y & g t ;  
                 & l t ; s t r i n g & g t ; c r i _ i d & l t ; / s t r i n g & g t ;  
             & l t ; / k e y & g t ;  
             & l t ; v a l u e & g t ;  
                 & l t ; i n t & g t ; 9 3 & l t ; / i n t & g t ;  
             & l t ; / v a l u e & g t ;  
         & l t ; / i t e m & g t ;  
         & l t ; i t e m & g t ;  
             & l t ; k e y & g t ;  
                 & l t ; s t r i n g & g t ; d r _ i d & l t ; / s t r i n g & g t ;  
             & l t ; / k e y & g t ;  
             & l t ; v a l u e & g t ;  
                 & l t ; i n t & g t ; 9 1 & l t ; / i n t & g t ;  
             & l t ; / v a l u e & g t ;  
         & l t ; / i t e m & g t ;  
         & l t ; i t e m & g t ;  
             & l t ; k e y & g t ;  
                 & l t ; s t r i n g & g t ; o r g _ i d & l t ; / s t r i n g & g t ;  
             & l t ; / k e y & g t ;  
             & l t ; v a l u e & g t ;  
                 & l t ; i n t & g t ; 9 8 & l t ; / i n t & g t ;  
             & l t ; / v a l u e & g t ;  
         & l t ; / i t e m & g t ;  
         & l t ; i t e m & g t ;  
             & l t ; k e y & g t ;  
                 & l t ; s t r i n g & g t ; c r i _ d a t a p e r i o d s t a r t & l t ; / s t r i n g & g t ;  
             & l t ; / k e y & g t ;  
             & l t ; v a l u e & g t ;  
                 & l t ; i n t & g t ; 1 7 7 & l t ; / i n t & g t ;  
             & l t ; / v a l u e & g t ;  
         & l t ; / i t e m & g t ;  
         & l t ; i t e m & g t ;  
             & l t ; k e y & g t ;  
                 & l t ; s t r i n g & g t ; C o d e & l t ; / s t r i n g & g t ;  
             & l t ; / k e y & g t ;  
             & l t ; v a l u e & g t ;  
                 & l t ; i n t & g t ; 9 1 & l t ; / i n t & g t ;  
             & l t ; / v a l u e & g t ;  
         & l t ; / i t e m & g t ;  
         & l t ; i t e m & g t ;  
             & l t ; k e y & g t ;  
                 & l t ; s t r i n g & g t ; N a m e & l t ; / s t r i n g & g t ;  
             & l t ; / k e y & g t ;  
             & l t ; v a l u e & g t ;  
                 & l t ; i n t & g t ; 9 6 & l t ; / i n t & g t ;  
             & l t ; / v a l u e & g t ;  
         & l t ; / i t e m & g t ;  
         & l t ; i t e m & g t ;  
             & l t ; k e y & g t ;  
                 & l t ; s t r i n g & g t ; D a t e & l t ; / s t r i n g & g t ;  
             & l t ; / k e y & g t ;  
             & l t ; v a l u e & g t ;  
                 & l t ; i n t & g t ; 8 8 & l t ; / i n t & g t ;  
             & l t ; / v a l u e & g t ;  
         & l t ; / i t e m & g t ;  
         & l t ; i t e m & g t ;  
             & l t ; k e y & g t ;  
                 & l t ; s t r i n g & g t ; W e e k & l t ; / s t r i n g & g t ;  
             & l t ; / k e y & g t ;  
             & l t ; v a l u e & g t ;  
                 & l t ; i n t & g t ; 9 4 & l t ; / i n t & g t ;  
             & l t ; / v a l u e & g t ;  
         & l t ; / i t e m & g t ;  
         & l t ; i t e m & g t ;  
             & l t ; k e y & g t ;  
                 & l t ; s t r i n g & g t ; D a y & l t ; / s t r i n g & g t ;  
             & l t ; / k e y & g t ;  
             & l t ; v a l u e & g t ;  
                 & l t ; i n t & g t ; 8 2 & l t ; / i n t & g t ;  
             & l t ; / v a l u e & g t ;  
         & l t ; / i t e m & g t ;  
         & l t ; i t e m & g t ;  
             & l t ; k e y & g t ;  
                 & l t ; s t r i n g & g t ; B a n k   h o l i d a y & l t ; / s t r i n g & g t ;  
             & l t ; / k e y & g t ;  
             & l t ; v a l u e & g t ;  
                 & l t ; i n t & g t ; 1 3 8 & l t ; / i n t & g t ;  
             & l t ; / v a l u e & g t ;  
         & l t ; / i t e m & g t ;  
         & l t ; i t e m & g t ;  
             & l t ; k e y & g t ;  
                 & l t ; s t r i n g & g t ; A & a m p ; a m p ; E   c l o s u r e s & l t ; / s t r i n g & g t ;  
             & l t ; / k e y & g t ;  
             & l t ; v a l u e & g t ;  
                 & l t ; i n t & g t ; 1 3 9 & l t ; / i n t & g t ;  
             & l t ; / v a l u e & g t ;  
         & l t ; / i t e m & g t ;  
         & l t ; i t e m & g t ;  
             & l t ; k e y & g t ;  
                 & l t ; s t r i n g & g t ; A & a m p ; a m p ; E   d i v e r t s & l t ; / s t r i n g & g t ;  
             & l t ; / k e y & g t ;  
             & l t ; v a l u e & g t ;  
                 & l t ; i n t & g t ; 1 3 1 & l t ; / i n t & g t ;  
             & l t ; / v a l u e & g t ;  
         & l t ; / i t e m & g t ;  
         & l t ; i t e m & g t ;  
             & l t ; k e y & g t ;  
                 & l t ; s t r i n g & g t ; A & a m p ; a m p ; E   t y p e   1   a t t e n d a n c e s & l t ; / s t r i n g & g t ;  
             & l t ; / k e y & g t ;  
             & l t ; v a l u e & g t ;  
                 & l t ; i n t & g t ; 2 0 5 & l t ; / i n t & g t ;  
             & l t ; / v a l u e & g t ;  
         & l t ; / i t e m & g t ;  
         & l t ; i t e m & g t ;  
             & l t ; k e y & g t ;  
                 & l t ; s t r i n g & g t ; A & a m p ; a m p ; E   t y p e   2   a t t e n d a n c e s & l t ; / s t r i n g & g t ;  
             & l t ; / k e y & g t ;  
             & l t ; v a l u e & g t ;  
                 & l t ; i n t & g t ; 2 0 5 & l t ; / i n t & g t ;  
             & l t ; / v a l u e & g t ;  
         & l t ; / i t e m & g t ;  
         & l t ; i t e m & g t ;  
             & l t ; k e y & g t ;  
                 & l t ; s t r i n g & g t ; A & a m p ; a m p ; E   t y p e   3   a t t e n d a n c e s & l t ; / s t r i n g & g t ;  
             & l t ; / k e y & g t ;  
             & l t ; v a l u e & g t ;  
                 & l t ; i n t & g t ; 2 0 5 & l t ; / i n t & g t ;  
             & l t ; / v a l u e & g t ;  
         & l t ; / i t e m & g t ;  
         & l t ; i t e m & g t ;  
             & l t ; k e y & g t ;  
                 & l t ; s t r i n g & g t ; A & a m p ; a m p ; E   t o t a l   a t t e n d a n c e s & l t ; / s t r i n g & g t ;  
             & l t ; / k e y & g t ;  
             & l t ; v a l u e & g t ;  
                 & l t ; i n t & g t ; 1 9 6 & l t ; / i n t & g t ;  
             & l t ; / v a l u e & g t ;  
         & l t ; / i t e m & g t ;  
         & l t ; i t e m & g t ;  
             & l t ; k e y & g t ;  
                 & l t ; s t r i n g & g t ; E m e r g e n c y   a d m i s s i o n s & l t ; / s t r i n g & g t ;  
             & l t ; / k e y & g t ;  
             & l t ; v a l u e & g t ;  
                 & l t ; i n t & g t ; 1 9 9 & l t ; / i n t & g t ;  
             & l t ; / v a l u e & g t ;  
         & l t ; / i t e m & g t ;  
         & l t ; i t e m & g t ;  
             & l t ; k e y & g t ;  
                 & l t ; s t r i n g & g t ; G & a m p ; a m p ; A   c o r e   b e d s   a v a i l & l t ; / s t r i n g & g t ;  
             & l t ; / k e y & g t ;  
             & l t ; v a l u e & g t ;  
                 & l t ; i n t & g t ; 1 8 2 & l t ; / i n t & g t ;  
             & l t ; / v a l u e & g t ;  
         & l t ; / i t e m & g t ;  
         & l t ; i t e m & g t ;  
             & l t ; k e y & g t ;  
                 & l t ; s t r i n g & g t ; G & a m p ; a m p ; A   e s c a l a t i o n   b e d s   a v a i l & l t ; / s t r i n g & g t ;  
             & l t ; / k e y & g t ;  
             & l t ; v a l u e & g t ;  
                 & l t ; i n t & g t ; 2 1 7 & l t ; / i n t & g t ;  
             & l t ; / v a l u e & g t ;  
         & l t ; / i t e m & g t ;  
         & l t ; i t e m & g t ;  
             & l t ; k e y & g t ;  
                 & l t ; s t r i n g & g t ; G & a m p ; a m p ; A   t o t a l   b e d s   a v a i l & l t ; / s t r i n g & g t ;  
             & l t ; / k e y & g t ;  
             & l t ; v a l u e & g t ;  
                 & l t ; i n t & g t ; 1 8 4 & l t ; / i n t & g t ;  
             & l t ; / v a l u e & g t ;  
         & l t ; / i t e m & g t ;  
         & l t ; i t e m & g t ;  
             & l t ; k e y & g t ;  
                 & l t ; s t r i n g & g t ; G & a m p ; a m p ; A   t o t a l   b e d s   o c c u p i e d & l t ; / s t r i n g & g t ;  
             & l t ; / k e y & g t ;  
             & l t ; v a l u e & g t ;  
                 & l t ; i n t & g t ; 2 1 1 & l t ; / i n t & g t ;  
             & l t ; / v a l u e & g t ;  
         & l t ; / i t e m & g t ;  
         & l t ; i t e m & g t ;  
             & l t ; k e y & g t ;  
                 & l t ; s t r i n g & g t ; B e d s   c l o s e d   n o r o v i r u s & l t ; / s t r i n g & g t ;  
             & l t ; / k e y & g t ;  
             & l t ; v a l u e & g t ;  
                 & l t ; i n t & g t ; 1 9 4 & l t ; / i n t & g t ;  
             & l t ; / v a l u e & g t ;  
         & l t ; / i t e m & g t ;  
         & l t ; i t e m & g t ;  
             & l t ; k e y & g t ;  
                 & l t ; s t r i n g & g t ; B e d s   c l o s e d   n o r o v i u s   u n o c c & l t ; / s t r i n g & g t ;  
             & l t ; / k e y & g t ;  
             & l t ; v a l u e & g t ;  
                 & l t ; i n t & g t ; 2 2 8 & l t ; / i n t & g t ;  
             & l t ; / v a l u e & g t ;  
         & l t ; / i t e m & g t ;  
         & l t ; i t e m & g t ;  
             & l t ; k e y & g t ;  
                 & l t ; s t r i n g & g t ; A d u l t   C C   b e d s   a v a i l & l t ; / s t r i n g & g t ;  
             & l t ; / k e y & g t ;  
             & l t ; v a l u e & g t ;  
                 & l t ; i n t & g t ; 1 7 7 & l t ; / i n t & g t ;  
             & l t ; / v a l u e & g t ;  
         & l t ; / i t e m & g t ;  
         & l t ; i t e m & g t ;  
             & l t ; k e y & g t ;  
                 & l t ; s t r i n g & g t ; A d u l t   C C   b e d s   o c c & l t ; / s t r i n g & g t ;  
             & l t ; / k e y & g t ;  
             & l t ; v a l u e & g t ;  
                 & l t ; i n t & g t ; 1 6 8 & l t ; / i n t & g t ;  
             & l t ; / v a l u e & g t ;  
         & l t ; / i t e m & g t ;  
         & l t ; i t e m & g t ;  
             & l t ; k e y & g t ;  
                 & l t ; s t r i n g & g t ; P a e d   I n t   C a r e   A v a i l & l t ; / s t r i n g & g t ;  
             & l t ; / k e y & g t ;  
             & l t ; v a l u e & g t ;  
                 & l t ; i n t & g t ; 1 7 5 & l t ; / i n t & g t ;  
             & l t ; / v a l u e & g t ;  
         & l t ; / i t e m & g t ;  
         & l t ; i t e m & g t ;  
             & l t ; k e y & g t ;  
                 & l t ; s t r i n g & g t ; P a e d   I n t   C a r e   O c c & l t ; / s t r i n g & g t ;  
             & l t ; / k e y & g t ;  
             & l t ; v a l u e & g t ;  
                 & l t ; i n t & g t ; 1 6 6 & l t ; / i n t & g t ;  
             & l t ; / v a l u e & g t ;  
         & l t ; / i t e m & g t ;  
         & l t ; i t e m & g t ;  
             & l t ; k e y & g t ;  
                 & l t ; s t r i n g & g t ; N e o   I n t   C a r e   A v a i l & l t ; / s t r i n g & g t ;  
             & l t ; / k e y & g t ;  
             & l t ; v a l u e & g t ;  
                 & l t ; i n t & g t ; 1 7 0 & l t ; / i n t & g t ;  
             & l t ; / v a l u e & g t ;  
         & l t ; / i t e m & g t ;  
         & l t ; i t e m & g t ;  
             & l t ; k e y & g t ;  
                 & l t ; s t r i n g & g t ; N e o   I n t   C a r e   o c c & l t ; / s t r i n g & g t ;  
             & l t ; / k e y & g t ;  
             & l t ; v a l u e & g t ;  
                 & l t ; i n t & g t ; 1 5 9 & l t ; / i n t & g t ;  
             & l t ; / v a l u e & g t ;  
         & l t ; / i t e m & g t ;  
         & l t ; i t e m & g t ;  
             & l t ; k e y & g t ;  
                 & l t ; s t r i n g & g t ; O P E L   3   o r   a b o v e & l t ; / s t r i n g & g t ;  
             & l t ; / k e y & g t ;  
             & l t ; v a l u e & g t ;  
                 & l t ; i n t & g t ; 1 5 7 & l t ; / i n t & g t ;  
             & l t ; / v a l u e & g t ;  
         & l t ; / i t e m & g t ;  
         & l t ; i t e m & g t ;  
             & l t ; k e y & g t ;  
                 & l t ; s t r i n g & g t ; W e e k e n d & l t ; / s t r i n g & g t ;  
             & l t ; / k e y & g t ;  
             & l t ; v a l u e & g t ;  
                 & l t ; i n t & g t ; 1 1 8 & l t ; / i n t & g t ;  
             & l t ; / v a l u e & g t ;  
         & l t ; / i t e m & g t ;  
         & l t ; i t e m & g t ;  
             & l t ; k e y & g t ;  
                 & l t ; s t r i n g & g t ; R e g i o n & l t ; / s t r i n g & g t ;  
             & l t ; / k e y & g t ;  
             & l t ; v a l u e & g t ;  
                 & l t ; i n t & g t ; 1 0 2 & l t ; / i n t & g t ;  
             & l t ; / v a l u e & g t ;  
         & l t ; / i t e m & g t ;  
         & l t ; i t e m & g t ;  
             & l t ; k e y & g t ;  
                 & l t ; s t r i n g & g t ; Y e a r & l t ; / s t r i n g & g t ;  
             & l t ; / k e y & g t ;  
             & l t ; v a l u e & g t ;  
                 & l t ; i n t & g t ; 8 5 & l t ; / i n t & g t ;  
             & l t ; / v a l u e & g t ;  
         & l t ; / i t e m & g t ;  
         & l t ; i t e m & g t ;  
             & l t ; k e y & g t ;  
                 & l t ; s t r i n g & g t ; B e d s   o c c   o v e r   7   d a y s & l t ; / s t r i n g & g t ;  
             & l t ; / k e y & g t ;  
             & l t ; v a l u e & g t ;  
                 & l t ; i n t & g t ; 1 8 4 & l t ; / i n t & g t ;  
             & l t ; / v a l u e & g t ;  
         & l t ; / i t e m & g t ;  
         & l t ; i t e m & g t ;  
             & l t ; k e y & g t ;  
                 & l t ; s t r i n g & g t ; B e d s   o c c   o v e r   2 1   d a y s & l t ; / s t r i n g & g t ;  
             & l t ; / k e y & g t ;  
             & l t ; v a l u e & g t ;  
                 & l t ; i n t & g t ; 1 9 1 & l t ; / i n t & g t ;  
             & l t ; / v a l u e & g t ;  
         & l t ; / i t e m & g t ;  
         & l t ; i t e m & g t ;  
             & l t ; k e y & g t ;  
                 & l t ; s t r i n g & g t ; A m b   a r r i v a l s & l t ; / s t r i n g & g t ;  
             & l t ; / k e y & g t ;  
             & l t ; v a l u e & g t ;  
                 & l t ; i n t & g t ; 1 3 6 & l t ; / i n t & g t ;  
             & l t ; / v a l u e & g t ;  
         & l t ; / i t e m & g t ;  
         & l t ; i t e m & g t ;  
             & l t ; k e y & g t ;  
                 & l t ; s t r i n g & g t ; A m b   d e l a y s   3 0 - 6 0   m i n s & l t ; / s t r i n g & g t ;  
             & l t ; / k e y & g t ;  
             & l t ; v a l u e & g t ;  
                 & l t ; i n t & g t ; 2 0 0 & l t ; / i n t & g t ;  
             & l t ; / v a l u e & g t ;  
         & l t ; / i t e m & g t ;  
         & l t ; i t e m & g t ;  
             & l t ; k e y & g t ;  
                 & l t ; s t r i n g & g t ; A m b   d e l a y s   o v e r   6 0   m i n s & l t ; / s t r i n g & g t ;  
             & l t ; / k e y & g t ;  
             & l t ; v a l u e & g t ;  
                 & l t ; i n t & g t ; 2 1 2 & l t ; / i n t & g t ;  
             & l t ; / v a l u e & g t ;  
         & l t ; / i t e m & g t ;  
         & l t ; i t e m & g t ;  
             & l t ; k e y & g t ;  
                 & l t ; s t r i n g & g t ; B e d s   o c c   o v e r   1 4   d a y s & l t ; / s t r i n g & g t ;  
             & l t ; / k e y & g t ;  
             & l t ; v a l u e & g t ;  
                 & l t ; i n t & g t ; 1 9 1 & l t ; / i n t & g t ;  
             & l t ; / v a l u e & g t ;  
         & l t ; / i t e m & g t ;  
     & l t ; / C o l u m n W i d t h s & g t ;  
     & l t ; C o l u m n D i s p l a y I n d e x & g t ;  
         & l t ; i t e m & g t ;  
             & l t ; k e y & g t ;  
                 & l t ; s t r i n g & g t ; I D & l t ; / s t r i n g & g t ;  
             & l t ; / k e y & g t ;  
             & l t ; v a l u e & g t ;  
                 & l t ; i n t & g t ; 0 & l t ; / i n t & g t ;  
             & l t ; / v a l u e & g t ;  
         & l t ; / i t e m & g t ;  
         & l t ; i t e m & g t ;  
             & l t ; k e y & g t ;  
                 & l t ; s t r i n g & g t ; c r i _ i d & l t ; / s t r i n g & g t ;  
             & l t ; / k e y & g t ;  
             & l t ; v a l u e & g t ;  
                 & l t ; i n t & g t ; 1 & l t ; / i n t & g t ;  
             & l t ; / v a l u e & g t ;  
         & l t ; / i t e m & g t ;  
         & l t ; i t e m & g t ;  
             & l t ; k e y & g t ;  
                 & l t ; s t r i n g & g t ; d r _ i d & l t ; / s t r i n g & g t ;  
             & l t ; / k e y & g t ;  
             & l t ; v a l u e & g t ;  
                 & l t ; i n t & g t ; 2 & l t ; / i n t & g t ;  
             & l t ; / v a l u e & g t ;  
         & l t ; / i t e m & g t ;  
         & l t ; i t e m & g t ;  
             & l t ; k e y & g t ;  
                 & l t ; s t r i n g & g t ; o r g _ i d & l t ; / s t r i n g & g t ;  
             & l t ; / k e y & g t ;  
             & l t ; v a l u e & g t ;  
                 & l t ; i n t & g t ; 3 & l t ; / i n t & g t ;  
             & l t ; / v a l u e & g t ;  
         & l t ; / i t e m & g t ;  
         & l t ; i t e m & g t ;  
             & l t ; k e y & g t ;  
                 & l t ; s t r i n g & g t ; c r i _ d a t a p e r i o d s t a r t & l t ; / s t r i n g & g t ;  
             & l t ; / k e y & g t ;  
             & l t ; v a l u e & g t ;  
                 & l t ; i n t & g t ; 4 & l t ; / i n t & g t ;  
             & l t ; / v a l u e & g t ;  
         & l t ; / i t e m & g t ;  
         & l t ; i t e m & g t ;  
             & l t ; k e y & g t ;  
                 & l t ; s t r i n g & g t ; C o d e & l t ; / s t r i n g & g t ;  
             & l t ; / k e y & g t ;  
             & l t ; v a l u e & g t ;  
                 & l t ; i n t & g t ; 5 & l t ; / i n t & g t ;  
             & l t ; / v a l u e & g t ;  
         & l t ; / i t e m & g t ;  
         & l t ; i t e m & g t ;  
             & l t ; k e y & g t ;  
                 & l t ; s t r i n g & g t ; N a m e & l t ; / s t r i n g & g t ;  
             & l t ; / k e y & g t ;  
             & l t ; v a l u e & g t ;  
                 & l t ; i n t & g t ; 6 & l t ; / i n t & g t ;  
             & l t ; / v a l u e & g t ;  
         & l t ; / i t e m & g t ;  
         & l t ; i t e m & g t ;  
             & l t ; k e y & g t ;  
                 & l t ; s t r i n g & g t ; D a t e & l t ; / s t r i n g & g t ;  
             & l t ; / k e y & g t ;  
             & l t ; v a l u e & g t ;  
                 & l t ; i n t & g t ; 7 & l t ; / i n t & g t ;  
             & l t ; / v a l u e & g t ;  
         & l t ; / i t e m & g t ;  
         & l t ; i t e m & g t ;  
             & l t ; k e y & g t ;  
                 & l t ; s t r i n g & g t ; W e e k & l t ; / s t r i n g & g t ;  
             & l t ; / k e y & g t ;  
             & l t ; v a l u e & g t ;  
                 & l t ; i n t & g t ; 8 & l t ; / i n t & g t ;  
             & l t ; / v a l u e & g t ;  
         & l t ; / i t e m & g t ;  
         & l t ; i t e m & g t ;  
             & l t ; k e y & g t ;  
                 & l t ; s t r i n g & g t ; D a y & l t ; / s t r i n g & g t ;  
             & l t ; / k e y & g t ;  
             & l t ; v a l u e & g t ;  
                 & l t ; i n t & g t ; 9 & l t ; / i n t & g t ;  
             & l t ; / v a l u e & g t ;  
         & l t ; / i t e m & g t ;  
         & l t ; i t e m & g t ;  
             & l t ; k e y & g t ;  
                 & l t ; s t r i n g & g t ; B a n k   h o l i d a y & l t ; / s t r i n g & g t ;  
             & l t ; / k e y & g t ;  
             & l t ; v a l u e & g t ;  
                 & l t ; i n t & g t ; 1 0 & l t ; / i n t & g t ;  
             & l t ; / v a l u e & g t ;  
         & l t ; / i t e m & g t ;  
         & l t ; i t e m & g t ;  
             & l t ; k e y & g t ;  
                 & l t ; s t r i n g & g t ; A & a m p ; a m p ; E   c l o s u r e s & l t ; / s t r i n g & g t ;  
             & l t ; / k e y & g t ;  
             & l t ; v a l u e & g t ;  
                 & l t ; i n t & g t ; 1 1 & l t ; / i n t & g t ;  
             & l t ; / v a l u e & g t ;  
         & l t ; / i t e m & g t ;  
         & l t ; i t e m & g t ;  
             & l t ; k e y & g t ;  
                 & l t ; s t r i n g & g t ; A & a m p ; a m p ; E   d i v e r t s & l t ; / s t r i n g & g t ;  
             & l t ; / k e y & g t ;  
             & l t ; v a l u e & g t ;  
                 & l t ; i n t & g t ; 1 2 & l t ; / i n t & g t ;  
             & l t ; / v a l u e & g t ;  
         & l t ; / i t e m & g t ;  
         & l t ; i t e m & g t ;  
             & l t ; k e y & g t ;  
                 & l t ; s t r i n g & g t ; A & a m p ; a m p ; E   t y p e   1   a t t e n d a n c e s & l t ; / s t r i n g & g t ;  
             & l t ; / k e y & g t ;  
             & l t ; v a l u e & g t ;  
                 & l t ; i n t & g t ; 1 3 & l t ; / i n t & g t ;  
             & l t ; / v a l u e & g t ;  
         & l t ; / i t e m & g t ;  
         & l t ; i t e m & g t ;  
             & l t ; k e y & g t ;  
                 & l t ; s t r i n g & g t ; A & a m p ; a m p ; E   t y p e   2   a t t e n d a n c e s & l t ; / s t r i n g & g t ;  
             & l t ; / k e y & g t ;  
             & l t ; v a l u e & g t ;  
                 & l t ; i n t & g t ; 1 4 & l t ; / i n t & g t ;  
             & l t ; / v a l u e & g t ;  
         & l t ; / i t e m & g t ;  
         & l t ; i t e m & g t ;  
             & l t ; k e y & g t ;  
                 & l t ; s t r i n g & g t ; A & a m p ; a m p ; E   t y p e   3   a t t e n d a n c e s & l t ; / s t r i n g & g t ;  
             & l t ; / k e y & g t ;  
             & l t ; v a l u e & g t ;  
                 & l t ; i n t & g t ; 1 5 & l t ; / i n t & g t ;  
             & l t ; / v a l u e & g t ;  
         & l t ; / i t e m & g t ;  
         & l t ; i t e m & g t ;  
             & l t ; k e y & g t ;  
                 & l t ; s t r i n g & g t ; A & a m p ; a m p ; E   t o t a l   a t t e n d a n c e s & l t ; / s t r i n g & g t ;  
             & l t ; / k e y & g t ;  
             & l t ; v a l u e & g t ;  
                 & l t ; i n t & g t ; 1 6 & l t ; / i n t & g t ;  
             & l t ; / v a l u e & g t ;  
         & l t ; / i t e m & g t ;  
         & l t ; i t e m & g t ;  
             & l t ; k e y & g t ;  
                 & l t ; s t r i n g & g t ; E m e r g e n c y   a d m i s s i o n s & l t ; / s t r i n g & g t ;  
             & l t ; / k e y & g t ;  
             & l t ; v a l u e & g t ;  
                 & l t ; i n t & g t ; 1 7 & l t ; / i n t & g t ;  
             & l t ; / v a l u e & g t ;  
         & l t ; / i t e m & g t ;  
         & l t ; i t e m & g t ;  
             & l t ; k e y & g t ;  
                 & l t ; s t r i n g & g t ; G & a m p ; a m p ; A   c o r e   b e d s   a v a i l & l t ; / s t r i n g & g t ;  
             & l t ; / k e y & g t ;  
             & l t ; v a l u e & g t ;  
                 & l t ; i n t & g t ; 1 8 & l t ; / i n t & g t ;  
             & l t ; / v a l u e & g t ;  
         & l t ; / i t e m & g t ;  
         & l t ; i t e m & g t ;  
             & l t ; k e y & g t ;  
                 & l t ; s t r i n g & g t ; G & a m p ; a m p ; A   e s c a l a t i o n   b e d s   a v a i l & l t ; / s t r i n g & g t ;  
             & l t ; / k e y & g t ;  
             & l t ; v a l u e & g t ;  
                 & l t ; i n t & g t ; 1 9 & l t ; / i n t & g t ;  
             & l t ; / v a l u e & g t ;  
         & l t ; / i t e m & g t ;  
         & l t ; i t e m & g t ;  
             & l t ; k e y & g t ;  
                 & l t ; s t r i n g & g t ; G & a m p ; a m p ; A   t o t a l   b e d s   a v a i l & l t ; / s t r i n g & g t ;  
             & l t ; / k e y & g t ;  
             & l t ; v a l u e & g t ;  
                 & l t ; i n t & g t ; 2 0 & l t ; / i n t & g t ;  
             & l t ; / v a l u e & g t ;  
         & l t ; / i t e m & g t ;  
         & l t ; i t e m & g t ;  
             & l t ; k e y & g t ;  
                 & l t ; s t r i n g & g t ; G & a m p ; a m p ; A   t o t a l   b e d s   o c c u p i e d & l t ; / s t r i n g & g t ;  
             & l t ; / k e y & g t ;  
             & l t ; v a l u e & g t ;  
                 & l t ; i n t & g t ; 2 1 & l t ; / i n t & g t ;  
             & l t ; / v a l u e & g t ;  
         & l t ; / i t e m & g t ;  
         & l t ; i t e m & g t ;  
             & l t ; k e y & g t ;  
                 & l t ; s t r i n g & g t ; B e d s   c l o s e d   n o r o v i r u s & l t ; / s t r i n g & g t ;  
             & l t ; / k e y & g t ;  
             & l t ; v a l u e & g t ;  
                 & l t ; i n t & g t ; 2 2 & l t ; / i n t & g t ;  
             & l t ; / v a l u e & g t ;  
         & l t ; / i t e m & g t ;  
         & l t ; i t e m & g t ;  
             & l t ; k e y & g t ;  
                 & l t ; s t r i n g & g t ; B e d s   c l o s e d   n o r o v i u s   u n o c c & l t ; / s t r i n g & g t ;  
             & l t ; / k e y & g t ;  
             & l t ; v a l u e & g t ;  
                 & l t ; i n t & g t ; 2 3 & l t ; / i n t & g t ;  
             & l t ; / v a l u e & g t ;  
         & l t ; / i t e m & g t ;  
         & l t ; i t e m & g t ;  
             & l t ; k e y & g t ;  
                 & l t ; s t r i n g & g t ; A d u l t   C C   b e d s   a v a i l & l t ; / s t r i n g & g t ;  
             & l t ; / k e y & g t ;  
             & l t ; v a l u e & g t ;  
                 & l t ; i n t & g t ; 2 4 & l t ; / i n t & g t ;  
             & l t ; / v a l u e & g t ;  
         & l t ; / i t e m & g t ;  
         & l t ; i t e m & g t ;  
             & l t ; k e y & g t ;  
                 & l t ; s t r i n g & g t ; A d u l t   C C   b e d s   o c c & l t ; / s t r i n g & g t ;  
             & l t ; / k e y & g t ;  
             & l t ; v a l u e & g t ;  
                 & l t ; i n t & g t ; 2 5 & l t ; / i n t & g t ;  
             & l t ; / v a l u e & g t ;  
         & l t ; / i t e m & g t ;  
         & l t ; i t e m & g t ;  
             & l t ; k e y & g t ;  
                 & l t ; s t r i n g & g t ; P a e d   I n t   C a r e   A v a i l & l t ; / s t r i n g & g t ;  
             & l t ; / k e y & g t ;  
             & l t ; v a l u e & g t ;  
                 & l t ; i n t & g t ; 2 6 & l t ; / i n t & g t ;  
             & l t ; / v a l u e & g t ;  
         & l t ; / i t e m & g t ;  
         & l t ; i t e m & g t ;  
             & l t ; k e y & g t ;  
                 & l t ; s t r i n g & g t ; P a e d   I n t   C a r e   O c c & l t ; / s t r i n g & g t ;  
             & l t ; / k e y & g t ;  
             & l t ; v a l u e & g t ;  
                 & l t ; i n t & g t ; 2 7 & l t ; / i n t & g t ;  
             & l t ; / v a l u e & g t ;  
         & l t ; / i t e m & g t ;  
         & l t ; i t e m & g t ;  
             & l t ; k e y & g t ;  
                 & l t ; s t r i n g & g t ; N e o   I n t   C a r e   A v a i l & l t ; / s t r i n g & g t ;  
             & l t ; / k e y & g t ;  
             & l t ; v a l u e & g t ;  
                 & l t ; i n t & g t ; 2 8 & l t ; / i n t & g t ;  
             & l t ; / v a l u e & g t ;  
         & l t ; / i t e m & g t ;  
         & l t ; i t e m & g t ;  
             & l t ; k e y & g t ;  
                 & l t ; s t r i n g & g t ; N e o   I n t   C a r e   o c c & l t ; / s t r i n g & g t ;  
             & l t ; / k e y & g t ;  
             & l t ; v a l u e & g t ;  
                 & l t ; i n t & g t ; 2 9 & l t ; / i n t & g t ;  
             & l t ; / v a l u e & g t ;  
         & l t ; / i t e m & g t ;  
         & l t ; i t e m & g t ;  
             & l t ; k e y & g t ;  
                 & l t ; s t r i n g & g t ; O P E L   3   o r   a b o v e & l t ; / s t r i n g & g t ;  
             & l t ; / k e y & g t ;  
             & l t ; v a l u e & g t ;  
                 & l t ; i n t & g t ; 3 0 & l t ; / i n t & g t ;  
             & l t ; / v a l u e & g t ;  
         & l t ; / i t e m & g t ;  
         & l t ; i t e m & g t ;  
             & l t ; k e y & g t ;  
                 & l t ; s t r i n g & g t ; W e e k e n d & l t ; / s t r i n g & g t ;  
             & l t ; / k e y & g t ;  
             & l t ; v a l u e & g t ;  
                 & l t ; i n t & g t ; 3 1 & l t ; / i n t & g t ;  
             & l t ; / v a l u e & g t ;  
         & l t ; / i t e m & g t ;  
         & l t ; i t e m & g t ;  
             & l t ; k e y & g t ;  
                 & l t ; s t r i n g & g t ; R e g i o n & l t ; / s t r i n g & g t ;  
             & l t ; / k e y & g t ;  
             & l t ; v a l u e & g t ;  
                 & l t ; i n t & g t ; 3 2 & l t ; / i n t & g t ;  
             & l t ; / v a l u e & g t ;  
         & l t ; / i t e m & g t ;  
         & l t ; i t e m & g t ;  
             & l t ; k e y & g t ;  
                 & l t ; s t r i n g & g t ; Y e a r & l t ; / s t r i n g & g t ;  
             & l t ; / k e y & g t ;  
             & l t ; v a l u e & g t ;  
                 & l t ; i n t & g t ; 3 3 & l t ; / i n t & g t ;  
             & l t ; / v a l u e & g t ;  
         & l t ; / i t e m & g t ;  
         & l t ; i t e m & g t ;  
             & l t ; k e y & g t ;  
                 & l t ; s t r i n g & g t ; B e d s   o c c   o v e r   7   d a y s & l t ; / s t r i n g & g t ;  
             & l t ; / k e y & g t ;  
             & l t ; v a l u e & g t ;  
                 & l t ; i n t & g t ; 3 4 & l t ; / i n t & g t ;  
             & l t ; / v a l u e & g t ;  
         & l t ; / i t e m & g t ;  
         & l t ; i t e m & g t ;  
             & l t ; k e y & g t ;  
                 & l t ; s t r i n g & g t ; B e d s   o c c   o v e r   2 1   d a y s & l t ; / s t r i n g & g t ;  
             & l t ; / k e y & g t ;  
             & l t ; v a l u e & g t ;  
                 & l t ; i n t & g t ; 3 5 & l t ; / i n t & g t ;  
             & l t ; / v a l u e & g t ;  
         & l t ; / i t e m & g t ;  
         & l t ; i t e m & g t ;  
             & l t ; k e y & g t ;  
                 & l t ; s t r i n g & g t ; A m b   a r r i v a l s & l t ; / s t r i n g & g t ;  
             & l t ; / k e y & g t ;  
             & l t ; v a l u e & g t ;  
                 & l t ; i n t & g t ; 3 6 & l t ; / i n t & g t ;  
             & l t ; / v a l u e & g t ;  
         & l t ; / i t e m & g t ;  
         & l t ; i t e m & g t ;  
             & l t ; k e y & g t ;  
                 & l t ; s t r i n g & g t ; A m b   d e l a y s   3 0 - 6 0   m i n s & l t ; / s t r i n g & g t ;  
             & l t ; / k e y & g t ;  
             & l t ; v a l u e & g t ;  
                 & l t ; i n t & g t ; 3 7 & l t ; / i n t & g t ;  
             & l t ; / v a l u e & g t ;  
         & l t ; / i t e m & g t ;  
         & l t ; i t e m & g t ;  
             & l t ; k e y & g t ;  
                 & l t ; s t r i n g & g t ; A m b   d e l a y s   o v e r   6 0   m i n s & l t ; / s t r i n g & g t ;  
             & l t ; / k e y & g t ;  
             & l t ; v a l u e & g t ;  
                 & l t ; i n t & g t ; 3 8 & l t ; / i n t & g t ;  
             & l t ; / v a l u e & g t ;  
         & l t ; / i t e m & g t ;  
         & l t ; i t e m & g t ;  
             & l t ; k e y & g t ;  
                 & l t ; s t r i n g & g t ; B e d s   o c c   o v e r   1 4   d a y s & l t ; / s t r i n g & g t ;  
             & l t ; / k e y & g t ;  
             & l t ; v a l u e & g t ;  
                 & l t ; i n t & g t ; 3 9 & l t ; / i n t & g t ;  
             & l t ; / v a l u e & g t ;  
         & l t ; / i t e m & g t ;  
     & l t ; / C o l u m n D i s p l a y I n d e x & g t ;  
     & l t ; C o l u m n F r o z e n   / & g t ;  
     & l t ; C o l u m n C h e c k e d & g t ;  
         & l t ; i t e m & g t ;  
             & l t ; k e y & g t ;  
                 & l t ; s t r i n g & g t ; B e d s   o c c   o v e r   1 4   d a y s & l t ; / s t r i n g & g t ; 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 T a b l e W i d g e t S o u r c e T a b l e < / N a m e > < / A n n o t a t i o n > < A n n o t a t i o n > < N a m e > Q u e r y E d i t o r S e r i a l i z a t i o n < / N a m e > < / A n n o t a t i o n > < A n n o t a t i o n > < N a m e > I s Q u e r y E d i t o r U s e d < / N a m e > < V a l u e > F a l s e < / V a l u e > < / A n n o t a t i o n > < / A n n o t a t i o n s > < S o u r c e   x s i : t y p e = " Q u e r y B i n d i n g " > < D a t a S o u r c e I D > 2 5 c f a f c b - a 9 8 0 - 4 1 4 2 - 8 7 8 c - 1 d a d 5 9 5 7 9 3 4 c < / D a t a S o u r c e I D > < Q u e r y D e f i n i t i o n > S E L E C T   [ a d b ] . [ W i n t e r   d a i l y   s i t r e p s ] . *   	 	 F R O M   [ a d b ] . [ W i n t e r   d a i l y   s i t r e p s ] 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 W i n t e r   b e d   o c c   o v e r   1 4   d a y s < / I D > < N a m e > W i n t e r   b e d   o c c   o v e r   1 4   d a y s < / N a m e > < M e a s u r e s > < M e a s u r e > < I D > W i n t e r   b e d   o c c   o v e r   1 4   d a y s < / I D > < N a m e > _ C o u n t   W i n t e r   b e d   o c c   o v e r   1 4   d a y s 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 W i n t e r   b e d   o c c   o v e r   1 4   d a y s < / C u b e D i m e n s i o n I D > < A t t r i b u t e s > < A t t r i b u t e > < A t t r i b u t e I D > R e g i o n < / A t t r i b u t e I D > < K e y C o l u m n s > < K e y C o l u m n > < D a t a T y p e > W C h a r < / D a t a T y p e > < N u l l P r o c e s s i n g > P r e s e r v e < / N u l l P r o c e s s i n g > < / K e y C o l u m n > < / K e y C o l u m n s > < / A t t r i b u t e > < A t t r i b u t e > < A t t r i b u t e I D > C o d e < / A t t r i b u t e I D > < K e y C o l u m n s > < K e y C o l u m n > < D a t a T y p e > W C h a r < / D a t a T y p e > < N u l l P r o c e s s i n g > P r e s e r v e < / N u l l P r o c e s s i n g > < / K e y C o l u m n > < / K e y C o l u m n s > < / A t t r i b u t e > < A t t r i b u t e > < A t t r i b u t e I D > N a m e < / A t t r i b u t e I D > < K e y C o l u m n s > < K e y C o l u m n > < D a t a T y p e > W C h a r < / D a t a T y p e > < N u l l P r o c e s s i n g > P r e s e r v e < / N u l l P r o c e s s i n g > < / K e y C o l u m n > < / K e y C o l u m n s > < / A t t r i b u t e > < A t t r i b u t e > < A t t r i b u t e I D > Y e a r < / A t t r i b u t e I D > < K e y C o l u m n s > < K e y C o l u m n > < D a t a T y p e > W C h a r < / D a t a T y p e > < N u l l P r o c e s s i n g > P r e s e r v e < / N u l l P r o c e s s i n g > < / K e y C o l u m n > < / K e y C o l u m n s > < / A t t r i b u t e > < A t t r i b u t e > < A t t r i b u t e I D > D a t e < / A t t r i b u t e I D > < K e y C o l u m n s > < K e y C o l u m n > < D a t a T y p e > D a t e < / D a t a T y p e > < N u l l P r o c e s s i n g > P r e s e r v e < / N u l l P r o c e s s i n g > < / K e y C o l u m n > < / K e y C o l u m n s > < / A t t r i b u t e > < A t t r i b u t e > < A t t r i b u t e I D > W e e k < / A t t r i b u t e I D > < K e y C o l u m n s > < K e y C o l u m n > < D a t a T y p e > B i g I n t < / D a t a T y p e > < N u l l P r o c e s s i n g > P r e s e r v e < / N u l l P r o c e s s i n g > < / K e y C o l u m n > < / K e y C o l u m n s > < / A t t r i b u t e > < A t t r i b u t e > < A t t r i b u t e I D > D a y < / A t t r i b u t e I D > < K e y C o l u m n s > < K e y C o l u m n > < D a t a T y p e > W C h a r < / D a t a T y p e > < N u l l P r o c e s s i n g > P r e s e r v e < / N u l l P r o c e s s i n g > < / K e y C o l u m n > < / K e y C o l u m n s > < / A t t r i b u t e > < A t t r i b u t e > < A t t r i b u t e I D > W e e k e n d < / A t t r i b u t e I D > < K e y C o l u m n s > < K e y C o l u m n > < D a t a T y p e > B i g I n t < / D a t a T y p e > < N u l l P r o c e s s i n g > P r e s e r v e < / N u l l P r o c e s s i n g > < / K e y C o l u m n > < / K e y C o l u m n s > < / A t t r i b u t e > < A t t r i b u t e > < A t t r i b u t e I D > B a n k   h o l i d a y < / A t t r i b u t e I D > < K e y C o l u m n s > < K e y C o l u m n > < D a t a T y p e > W C h a r < / D a t a T y p e > < N u l l P r o c e s s i n g > P r e s e r v e < / N u l l P r o c e s s i n g > < / K e y C o l u m n > < / K e y C o l u m n s > < / A t t r i b u t e > < A t t r i b u t e > < A t t r i b u t e I D > A   E   c l o s u r e s < / A t t r i b u t e I D > < K e y C o l u m n s > < K e y C o l u m n > < D a t a T y p e > B i g I n t < / D a t a T y p e > < N u l l P r o c e s s i n g > P r e s e r v e < / N u l l P r o c e s s i n g > < / K e y C o l u m n > < / K e y C o l u m n s > < / A t t r i b u t e > < A t t r i b u t e > < A t t r i b u t e I D > A   E   d i v e r t s < / A t t r i b u t e I D > < K e y C o l u m n s > < K e y C o l u m n > < D a t a T y p e > B i g I n t < / D a t a T y p e > < N u l l P r o c e s s i n g > P r e s e r v e < / N u l l P r o c e s s i n g > < / K e y C o l u m n > < / K e y C o l u m n s > < / A t t r i b u t e > < A t t r i b u t e > < A t t r i b u t e I D > G   A   c o r e   b e d s   a v a i l < / A t t r i b u t e I D > < K e y C o l u m n s > < K e y C o l u m n > < D a t a T y p e > B i g I n t < / D a t a T y p e > < N u l l P r o c e s s i n g > P r e s e r v e < / N u l l P r o c e s s i n g > < / K e y C o l u m n > < / K e y C o l u m n s > < / A t t r i b u t e > < A t t r i b u t e > < A t t r i b u t e I D > G   A   e s c a l a t i o n   b e d s   a v a i l < / A t t r i b u t e I D > < K e y C o l u m n s > < K e y C o l u m n > < D a t a T y p e > B i g I n t < / D a t a T y p e > < N u l l P r o c e s s i n g > P r e s e r v e < / N u l l P r o c e s s i n g > < / K e y C o l u m n > < / K e y C o l u m n s > < / A t t r i b u t e > < A t t r i b u t e > < A t t r i b u t e I D > G   A   t o t a l   b e d s   a v a i l < / A t t r i b u t e I D > < K e y C o l u m n s > < K e y C o l u m n > < D a t a T y p e > B i g I n t < / D a t a T y p e > < N u l l P r o c e s s i n g > P r e s e r v e < / N u l l P r o c e s s i n g > < / K e y C o l u m n > < / K e y C o l u m n s > < / A t t r i b u t e > < A t t r i b u t e > < A t t r i b u t e I D > G   A   t o t a l   b e d s   o c c u p i e d < / A t t r i b u t e I D > < K e y C o l u m n s > < K e y C o l u m n > < D a t a T y p e > B i g I n t < / D a t a T y p e > < N u l l P r o c e s s i n g > P r e s e r v e < / N u l l P r o c e s s i n g > < / K e y C o l u m n > < / K e y C o l u m n s > < / A t t r i b u t e > < A t t r i b u t e > < A t t r i b u t e I D > B e d s   o c c   o v e r   7   d a y s < / A t t r i b u t e I D > < K e y C o l u m n s > < K e y C o l u m n > < D a t a T y p e > B i g I n t < / D a t a T y p e > < N u l l P r o c e s s i n g > P r e s e r v e < / N u l l P r o c e s s i n g > < / K e y C o l u m n > < / K e y C o l u m n s > < / A t t r i b u t e > < A t t r i b u t e > < A t t r i b u t e I D > B e d s   o c c   o v e r   2 1   d a y s < / A t t r i b u t e I D > < K e y C o l u m n s > < K e y C o l u m n > < D a t a T y p e > B i g I n t < / D a t a T y p e > < N u l l P r o c e s s i n g > P r e s e r v e < / N u l l P r o c e s s i n g > < / K e y C o l u m n > < / K e y C o l u m n s > < / A t t r i b u t e > < A t t r i b u t e > < A t t r i b u t e I D > B e d s   c l o s e d   n o r o v i r u s < / A t t r i b u t e I D > < K e y C o l u m n s > < K e y C o l u m n > < D a t a T y p e > B i g I n t < / D a t a T y p e > < N u l l P r o c e s s i n g > P r e s e r v e < / N u l l P r o c e s s i n g > < / K e y C o l u m n > < / K e y C o l u m n s > < / A t t r i b u t e > < A t t r i b u t e > < A t t r i b u t e I D > B e d s   c l o s e d   n o r o v i u s   u n o c c < / A t t r i b u t e I D > < K e y C o l u m n s > < K e y C o l u m n > < D a t a T y p e > B i g I n t < / D a t a T y p e > < N u l l P r o c e s s i n g > P r e s e r v e < / N u l l P r o c e s s i n g > < / K e y C o l u m n > < / K e y C o l u m n s > < / A t t r i b u t e > < A t t r i b u t e > < A t t r i b u t e I D > A d u l t   C C   b e d s   a v a i l < / A t t r i b u t e I D > < K e y C o l u m n s > < K e y C o l u m n > < D a t a T y p e > B i g I n t < / D a t a T y p e > < N u l l P r o c e s s i n g > P r e s e r v e < / N u l l P r o c e s s i n g > < / K e y C o l u m n > < / K e y C o l u m n s > < / A t t r i b u t e > < A t t r i b u t e > < A t t r i b u t e I D > A d u l t   C C   b e d s   o c c < / A t t r i b u t e I D > < K e y C o l u m n s > < K e y C o l u m n > < D a t a T y p e > B i g I n t < / D a t a T y p e > < N u l l P r o c e s s i n g > P r e s e r v e < / N u l l P r o c e s s i n g > < / K e y C o l u m n > < / K e y C o l u m n s > < / A t t r i b u t e > < A t t r i b u t e > < A t t r i b u t e I D > P a e d   I n t   C a r e   A v a i l < / A t t r i b u t e I D > < K e y C o l u m n s > < K e y C o l u m n > < D a t a T y p e > B i g I n t < / D a t a T y p e > < N u l l P r o c e s s i n g > P r e s e r v e < / N u l l P r o c e s s i n g > < / K e y C o l u m n > < / K e y C o l u m n s > < / A t t r i b u t e > < A t t r i b u t e > < A t t r i b u t e I D > P a e d   I n t   C a r e   O c c < / A t t r i b u t e I D > < K e y C o l u m n s > < K e y C o l u m n > < D a t a T y p e > B i g I n t < / D a t a T y p e > < N u l l P r o c e s s i n g > P r e s e r v e < / N u l l P r o c e s s i n g > < / K e y C o l u m n > < / K e y C o l u m n s > < / A t t r i b u t e > < A t t r i b u t e > < A t t r i b u t e I D > N e o   I n t   C a r e   A v a i l < / A t t r i b u t e I D > < K e y C o l u m n s > < K e y C o l u m n > < D a t a T y p e > B i g I n t < / D a t a T y p e > < N u l l P r o c e s s i n g > P r e s e r v e < / N u l l P r o c e s s i n g > < / K e y C o l u m n > < / K e y C o l u m n s > < / A t t r i b u t e > < A t t r i b u t e > < A t t r i b u t e I D > N e o   I n t   C a r e   o c c < / A t t r i b u t e I D > < K e y C o l u m n s > < K e y C o l u m n > < D a t a T y p e > B i g I n t < / D a t a T y p e > < N u l l P r o c e s s i n g > P r e s e r v e < / N u l l P r o c e s s i n g > < / K e y C o l u m n > < / K e y C o l u m n s > < / A t t r i b u t e > < A t t r i b u t e > < A t t r i b u t e I D > A m b   a r r i v a l s < / A t t r i b u t e I D > < K e y C o l u m n s > < K e y C o l u m n > < D a t a T y p e > B i g I n t < / D a t a T y p e > < N u l l P r o c e s s i n g > P r e s e r v e < / N u l l P r o c e s s i n g > < / K e y C o l u m n > < / K e y C o l u m n s > < / A t t r i b u t e > < A t t r i b u t e > < A t t r i b u t e I D > A m b   d e l a y s   3 0 - 6 0   m i n s < / A t t r i b u t e I D > < K e y C o l u m n s > < K e y C o l u m n > < D a t a T y p e > B i g I n t < / D a t a T y p e > < N u l l P r o c e s s i n g > P r e s e r v e < / N u l l P r o c e s s i n g > < / K e y C o l u m n > < / K e y C o l u m n s > < / A t t r i b u t e > < A t t r i b u t e > < A t t r i b u t e I D > A m b   d e l a y s   o v e r   6 0   m i n s < / A t t r i b u t e I D > < K e y C o l u m n s > < K e y C o l u m n > < D a t a T y p e > B i g I n t < / D a t a T y p e > < N u l l P r o c e s s i n g > P r e s e r v e < / N u l l P r o c e s s i n g > < / K e y C o l u m n > < / K e y C o l u m n s > < / A t t r i b u t e > < A t t r i b u t e > < A t t r i b u t e I D > B e d s   o c c   o v e r   1 4   d a y s < / A t t r i b u t e I D > < K e y C o l u m n s > < K e y C o l u m n > < D a t a T y p e > B i g I n t < / D a t a T y p e > < N u l l P r o c e s s i n g > P r e s e r v e < / N u l l P r o c e s s i n g > < / K e y C o l u m n > < / K e y C o l u m n s > < / A t t r i b u t e > < A t t r i b u t e > < A t t r i b u t e I D > R o w N u m b e r < / A t t r i b u t e I D > < K e y C o l u m n s > < K e y C o l u m n > < D a t a T y p e > I n t e g e r < / D a t a T y p e > < S o u r c e   x s i : t y p e = " C o l u m n B i n d i n g " > < T a b l e I D > W i n t e r _ x 0 0 2 0 _ b e d _ x 0 0 2 0 _ o c c _ x 0 0 2 0 _ o v e r _ x 0 0 2 0 _ 1 4 _ x 0 0 2 0 _ d a y s < / T a b l e I D > < C o l u m n I D > R o w N u m b e r < / C o l u m n I D > < / S o u r c e > < / K e y C o l u m n > < / K e y C o l u m n s > < T y p e > G r a n u l a r i t y < / T y p e > < / A t t r i b u t e > < / A t t r i b u t e s > < d d l 2 0 0 _ 2 0 0 : S h a r e D i m e n s i o n S t o r a g e > S h a r e d < / d d l 2 0 0 _ 2 0 0 : S h a r e D i m e n s i o n S t o r a g e > < / D i m e n s i o n > < / D i m e n s i o n s > < P a r t i t i o n s > < P a r t i t i o n > < I D > W i n t e r   b e d   o c c   o v e r   1 4   d a y s < / I D > < N a m e > W i n t e r   b e d   o c c   o v e r   1 4   d a y s 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 ' W i n t e r   d a i l y   s i t r e p s ' [ S u m   o f   A E   d i v e r t s ] = S U M ( ' W i n t e r   d a i l y   s i t r e p s ' [ A E   d i v e r t s ] ) ;  
 C R E A T E   M E A S U R E   ' W i n t e r   d a i l y   s i t r e p s ' [ S u m   o f   G A   t o t a l   b e d s   o c c u p i e d ] = S U M ( ' W i n t e r   d a i l y   s i t r e p s ' [ G A   t o t a l   b e d s   o c c u p i e d ] ) ;  
 C R E A T E   M E A S U R E   ' W i n t e r   d a i l y   s i t r e p s ' [ A v e r a g e   o f   G A   t o t a l   b e d s   o c c u p i e d ] = A V E R A G E ( ' W i n t e r   d a i l y   s i t r e p s ' [ G A   t o t a l   b e d s   o c c u p i e d ] ) ;  
 C R E A T E   M E A S U R E   ' W i n t e r   d a i l y   s i t r e p s ' [ S u m   o f   G A   t o t a l   b e d s   a v a i l ] = S U M ( ' W i n t e r   d a i l y   s i t r e p s ' [ G A   t o t a l   b e d s   a v a i l ] ) ;  
 C R E A T E   M E A S U R E   ' W i n t e r   d a i l y   s i t r e p s ' [ S u m   o f   B e d s   o c c   o v e r   7   d a y s ] = S U M ( ' W i n t e r   d a i l y   s i t r e p s ' [ B e d s   o c c   o v e r   7   d a y s ] ) ;  
 C R E A T E   M E A S U R E   ' W i n t e r   d a i l y   s i t r e p s ' [ S u m   o f   B e d s   o c c   o v e r   2 1   d a y s ] = S U M ( ' W i n t e r   d a i l y   s i t r e p s ' [ B e d s   o c c   o v e r   2 1   d a y s ] ) ;  
 C R E A T E   M E A S U R E   ' W i n t e r   d a i l y   s i t r e p s ' [ A v e r a g e   o f   B e d s   o c c   o v e r   2 1   d a y s ] = A V E R A G E ( ' W i n t e r   d a i l y   s i t r e p s ' [ B e d s   o c c   o v e r   2 1   d a y s ] ) ;  
 C R E A T E   M E A S U R E   ' W i n t e r   d a i l y   s i t r e p s ' [ S u m   o f   B e d s   c l o s e d   n o r o v i r u s ] = S U M ( ' W i n t e r   d a i l y   s i t r e p s ' [ B e d s   c l o s e d   n o r o v i r u s ] ) ;  
 C R E A T E   M E A S U R E   ' W i n t e r   d a i l y   s i t r e p s ' [ A v e r a g e   o f   B e d s   c l o s e d   n o r o v i r u s ] = A V E R A G E ( ' W i n t e r   d a i l y   s i t r e p s ' [ B e d s   c l o s e d   n o r o v i r u s ] ) ;  
 C R E A T E   M E A S U R E   ' W i n t e r   d a i l y   s i t r e p s ' [ S u m   o f   B e d s   c l o s e d   n o r o v i u s   u n o c c ] = S U M ( ' W i n t e r   d a i l y   s i t r e p s ' [ B e d s   c l o s e d   n o r o v i u s   u n o c c ] ) ;  
 C R E A T E   M E A S U R E   ' W i n t e r   d a i l y   s i t r e p s ' [ S u m   o f   A m b   a r r i v a l s ] = S U M ( ' W i n t e r   d a i l y   s i t r e p s ' [ A m b   a r r i v a l s ] ) ;  
 C R E A T E   M E A S U R E   ' W i n t e r   d a i l y   s i t r e p s ' [ S u m   o f   A m b   d e l a y s   3 0 - 6 0   m i n s ] = S U M ( ' W i n t e r   d a i l y   s i t r e p s ' [ A m b   d e l a y s   3 0 - 6 0   m i n s ] ) ;  
 C R E A T E   M E A S U R E   ' W i n t e r   d a i l y   s i t r e p s ' [ S u m   o f   A m b   d e l a y s   o v e r   6 0   m i n s ] = S U M ( ' W i n t e r   d a i l y   s i t r e p s ' [ A m b   d e l a y s   o v e r   6 0   m i n s ] ) ;  
 C R E A T E   M E A S U R E   ' W i n t e r   d a i l y   s i t r e p s ' [ S u m   o f   A d u l t   C C   b e d s   a v a i l ] = S U M ( ' W i n t e r   d a i l y   s i t r e p s ' [ A d u l t   C C   b e d s   a v a i l ] ) ;  
 C R E A T E   M E A S U R E   ' W i n t e r   d a i l y   s i t r e p s ' [ S u m   o f   A d u l t   C C   b e d s   o c c ] = S U M ( ' W i n t e r   d a i l y   s i t r e p s ' [ A d u l t   C C   b e d s   o c c ] ) ;  
 C R E A T E   M E A S U R E   ' W i n t e r   d a i l y   s i t r e p s ' [ S u m   o f   P a e d   I n t   C a r e   A v a i l ] = S U M ( ' W i n t e r   d a i l y   s i t r e p s ' [ P a e d   I n t   C a r e   A v a i l ] ) ;  
 C R E A T E   M E A S U R E   ' W i n t e r   d a i l y   s i t r e p s ' [ S u m   o f   P a e d   I n t   C a r e   O c c ] = S U M ( ' W i n t e r   d a i l y   s i t r e p s ' [ P a e d   I n t   C a r e   O c c ] ) ;  
 C R E A T E   M E A S U R E   ' W i n t e r   d a i l y   s i t r e p s ' [ S u m   o f   N e o   I n t   C a r e   A v a i l ] = S U M ( ' W i n t e r   d a i l y   s i t r e p s ' [ N e o   I n t   C a r e   A v a i l ] ) ;  
 C R E A T E   M E A S U R E   ' W i n t e r   d a i l y   s i t r e p s ' [ S u m   o f   N e o   I n t   C a r e   o c c ] = S U M ( ' W i n t e r   d a i l y   s i t r e p s ' [ N e o   I n t   C a r e   o c c ] ) ;  
 C R E A T E   M E A S U R E   ' W i n t e r   d a i l y   s i t r e p s ' [ A v e r a g e   o f   N e o   I n t   C a r e   A v a i l ] = A V E R A G E ( ' W i n t e r   d a i l y   s i t r e p s ' [ N e o   I n t   C a r e   A v a i l ] ) ;  
 C R E A T E   M E A S U R E   ' W i n t e r   d a i l y   s i t r e p s ' [ A v e r a g e   o f   N e o   I n t   C a r e   o c c ] = A V E R A G E ( ' W i n t e r   d a i l y   s i t r e p s ' [ N e o   I n t   C a r e   o c c ] ) ;  
 C R E A T E   M E A S U R E   ' W i n t e r   d a i l y   s i t r e p s ' [ S u m   o f   G A   b e d   o c c u p a n c y ] = S U M ( ' W i n t e r   d a i l y   s i t r e p s ' [ G A   b e d   o c c u p a n c y ] ) ;  
 C R E A T E   M E A S U R E   ' W i n t e r   d a i l y   s i t r e p s ' [ A v e r a g e   o f   G A   b e d   o c c u p a n c y ] = A V E R A G E ( ' W i n t e r   d a i l y   s i t r e p s ' [ G A   b e d   o c c u p a n c y ] ) ;  
 C R E A T E   M E A S U R E   ' W i n t e r   d a i l y   s i t r e p s ' [ S u m   o f   G A   c o r e   b e d s   a v a i l ] = S U M ( ' W i n t e r   d a i l y   s i t r e p s ' [ G A   c o r e   b e d s   a v a i l ] ) ;  
 C R E A T E   M E A S U R E   ' W i n t e r   d a i l y   s i t r e p s ' [ S u m   o f   G A   e s c a l a t i o n   b e d s   a v a i l ] = S U M ( ' W i n t e r   d a i l y   s i t r e p s ' [ G A   e s c a l a t i o n   b e d s   a v a i l ] ) ;  
 C R E A T E   M E A S U R E   ' W i n t e r   b e d   o c c   o v e r   1 4   d a y s ' [ S u m   o f   B e d s   o c c   o v e r   1 4   d a y s ] = S U M ( ' W i n t e r   b e d   o c c   o v e r   1 4   d a y s ' [ B e d s   o c c   o v e r   1 4   d a y s ] ) ;  
 C R E A T E   M E A S U R E   ' W i n t e r   d a i l y   s i t r e p s ' [ S u m   o f   B e d s   o c c   o v e r   1 4   d a y s   2 ] = S U M ( ' W i n t e r   d a i l y   s i t r e p s ' [ B e d s   o c c   o v e r   1 4   d a y s ] ) ;  
 < / T e x t > < / C o m m a n d > < / C o m m a n d s > < C a l c u l a t i o n P r o p e r t i e s > < C a l c u l a t i o n P r o p e r t y > < A n n o t a t i o n s > < A n n o t a t i o n > < N a m e > T y p e < / N a m e > < V a l u e > I m p l i c i t < / V a l u e > < / A n n o t a t i o n > < A n n o t a t i o n > < N a m e > I s P r i v a t e < / N a m e > < V a l u e > F a l s e < / V a l u e > < / A n n o t a t i o n > < A n n o t a t i o n > < N a m e > F o r m a t < / N a m e > < V a l u e > < F o r m a t   F o r m a t = " G e n e r a l "   x m l n s = " "   / > < / V a l u e > < / A n n o t a t i o n > < A n n o t a t i o n > < N a m e > R e f C o u n t < / N a m e > < V a l u e > 5 < / V a l u e > < / A n n o t a t i o n > < A n n o t a t i o n > < N a m e > C o l u m n < / N a m e > < V a l u e > A E   d i v e r t s < / V a l u e > < / A n n o t a t i o n > < A n n o t a t i o n > < N a m e > A g g r e g a t i o n < / N a m e > < V a l u e > S u m < / V a l u e > < / A n n o t a t i o n > < / A n n o t a t i o n s > < C a l c u l a t i o n R e f e r e n c e > [ S u m   o f   A E   d i v e r t s ] 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 S u m < / V a l u e > < / A n n o t a t i o n > < / A n n o t a t i o n s > < C a l c u l a t i o n R e f e r e n c e > [ S u m 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 A v e r a g e < / V a l u e > < / A n n o t a t i o n > < / A n n o t a t i o n s > < C a l c u l a t i o n R e f e r e n c e > [ A v e r a g e 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 t o t a l   b e d s   a v a i l < / V a l u e > < / A n n o t a t i o n > < A n n o t a t i o n > < N a m e > A g g r e g a t i o n < / N a m e > < V a l u e > S u m < / V a l u e > < / A n n o t a t i o n > < / A n n o t a t i o n s > < C a l c u l a t i o n R e f e r e n c e > [ S u m   o f   G A   t o t a l 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 B e d s   o c c   o v e r   7   d a y s < / V a l u e > < / A n n o t a t i o n > < A n n o t a t i o n > < N a m e > A g g r e g a t i o n < / N a m e > < V a l u e > S u m < / V a l u e > < / A n n o t a t i o n > < / A n n o t a t i o n s > < C a l c u l a t i o n R e f e r e n c e > [ S u m   o f   B e d s   o c c   o v e r   7   d a y s ] 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 2 1   d a y s < / V a l u e > < / A n n o t a t i o n > < A n n o t a t i o n > < N a m e > A g g r e g a t i o n < / N a m e > < V a l u e > S u m < / V a l u e > < / A n n o t a t i o n > < / A n n o t a t i o n s > < C a l c u l a t i o n R e f e r e n c e > [ S u m   o f   B e d s   o c c   o v e r   2 1 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 2 1   d a y s < / V a l u e > < / A n n o t a t i o n > < A n n o t a t i o n > < N a m e > A g g r e g a t i o n < / N a m e > < V a l u e > A v e r a g e < / V a l u e > < / A n n o t a t i o n > < / A n n o t a t i o n s > < C a l c u l a t i o n R e f e r e n c e > [ A v e r a g e   o f   B e d s   o c c   o v e r   2 1 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 2 < / V a l u e > < / A n n o t a t i o n > < A n n o t a t i o n > < N a m e > C o l u m n < / N a m e > < V a l u e > B e d s   c l o s e d   n o r o v i r u s < / V a l u e > < / A n n o t a t i o n > < A n n o t a t i o n > < N a m e > A g g r e g a t i o n < / N a m e > < V a l u e > S u m < / V a l u e > < / A n n o t a t i o n > < / A n n o t a t i o n s > < C a l c u l a t i o n R e f e r e n c e > [ S u m   o f   B e d s   c l o s e d   n o r o v i r u s ] 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 c l o s e d   n o r o v i r u s < / V a l u e > < / A n n o t a t i o n > < A n n o t a t i o n > < N a m e > A g g r e g a t i o n < / N a m e > < V a l u e > A v e r a g e < / V a l u e > < / A n n o t a t i o n > < / A n n o t a t i o n s > < C a l c u l a t i o n R e f e r e n c e > [ A v e r a g e   o f   B e d s   c l o s e d   n o r o v i r u s ] 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 B e d s   c l o s e d   n o r o v i u s   u n o c c < / V a l u e > < / A n n o t a t i o n > < A n n o t a t i o n > < N a m e > A g g r e g a t i o n < / N a m e > < V a l u e > S u m < / V a l u e > < / A n n o t a t i o n > < / A n n o t a t i o n s > < C a l c u l a t i o n R e f e r e n c e > [ S u m   o f   B e d s   c l o s e d   n o r o v i u s   u n o c c ] 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 a r r i v a l s < / V a l u e > < / A n n o t a t i o n > < A n n o t a t i o n > < N a m e > A g g r e g a t i o n < / N a m e > < V a l u e > S u m < / V a l u e > < / A n n o t a t i o n > < / A n n o t a t i o n s > < C a l c u l a t i o n R e f e r e n c e > [ S u m   o f   A m b   a r r i v a l s ] 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 d e l a y s   3 0 - 6 0   m i n s < / V a l u e > < / A n n o t a t i o n > < A n n o t a t i o n > < N a m e > A g g r e g a t i o n < / N a m e > < V a l u e > S u m < / V a l u e > < / A n n o t a t i o n > < / A n n o t a t i o n s > < C a l c u l a t i o n R e f e r e n c e > [ S u m   o f   A m b   d e l a y s   3 0 - 6 0   m i n s ] 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 A m b   d e l a y s   o v e r   6 0   m i n s < / V a l u e > < / A n n o t a t i o n > < A n n o t a t i o n > < N a m e > A g g r e g a t i o n < / N a m e > < V a l u e > S u m < / V a l u e > < / A n n o t a t i o n > < / A n n o t a t i o n s > < C a l c u l a t i o n R e f e r e n c e > [ S u m   o f   A m b   d e l a y s   o v e r   6 0   m i n s ] 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 a v a i l < / V a l u e > < / A n n o t a t i o n > < A n n o t a t i o n > < N a m e > A g g r e g a t i o n < / N a m e > < V a l u e > S u m < / V a l u e > < / A n n o t a t i o n > < / A n n o t a t i o n s > < C a l c u l a t i o n R e f e r e n c e > [ S u m   o f   A d u l t   C C 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 o c c < / V a l u e > < / A n n o t a t i o n > < A n n o t a t i o n > < N a m e > A g g r e g a t i o n < / N a m e > < V a l u e > S u m < / V a l u e > < / A n n o t a t i o n > < / A n n o t a t i o n s > < C a l c u l a t i o n R e f e r e n c e > [ S u m   o f   A d u l t   C C   b e d s 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 P a e d   I n t   C a r e   A v a i l < / V a l u e > < / A n n o t a t i o n > < A n n o t a t i o n > < N a m e > A g g r e g a t i o n < / N a m e > < V a l u e > S u m < / V a l u e > < / A n n o t a t i o n > < / A n n o t a t i o n s > < C a l c u l a t i o n R e f e r e n c e > [ S u m   o f   P a e d   I n t   C a r e 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 P a e d   I n t   C a r e   O c c < / V a l u e > < / A n n o t a t i o n > < A n n o t a t i o n > < N a m e > A g g r e g a t i o n < / N a m e > < V a l u e > S u m < / V a l u e > < / A n n o t a t i o n > < / A n n o t a t i o n s > < C a l c u l a t i o n R e f e r e n c e > [ S u m   o f   P a e d   I n t   C a r e 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 A v a i l < / V a l u e > < / A n n o t a t i o n > < A n n o t a t i o n > < N a m e > A g g r e g a t i o n < / N a m e > < V a l u e > S u m < / V a l u e > < / A n n o t a t i o n > < / A n n o t a t i o n s > < C a l c u l a t i o n R e f e r e n c e > [ S u m   o f   N e o   I n t   C a r e 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 o c c < / V a l u e > < / A n n o t a t i o n > < A n n o t a t i o n > < N a m e > A g g r e g a t i o n < / N a m e > < V a l u e > S u m < / V a l u e > < / A n n o t a t i o n > < / A n n o t a t i o n s > < C a l c u l a t i o n R e f e r e n c e > [ S u m   o f   N e o   I n t   C a r e 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 A v a i l < / V a l u e > < / A n n o t a t i o n > < A n n o t a t i o n > < N a m e > A g g r e g a t i o n < / N a m e > < V a l u e > A v e r a g e < / V a l u e > < / A n n o t a t i o n > < / A n n o t a t i o n s > < C a l c u l a t i o n R e f e r e n c e > [ A v e r a g e   o f   N e o   I n t   C a r e   A v a i l ] < / 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 o c c < / V a l u e > < / A n n o t a t i o n > < A n n o t a t i o n > < N a m e > A g g r e g a t i o n < / N a m e > < V a l u e > A v e r a g e < / V a l u e > < / A n n o t a t i o n > < / A n n o t a t i o n s > < C a l c u l a t i o n R e f e r e n c e > [ A v e r a g e   o f   N e o   I n t   C a r e   o c c ] < / 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 b e d   o c c u p a n c y < / V a l u e > < / A n n o t a t i o n > < A n n o t a t i o n > < N a m e > A g g r e g a t i o n < / N a m e > < V a l u e > S u m < / V a l u e > < / A n n o t a t i o n > < / A n n o t a t i o n s > < C a l c u l a t i o n R e f e r e n c e > [ S u m   o f   G A   b e d   o c c u p a n c y ] < / 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 G A   b e d   o c c u p a n c y < / V a l u e > < / A n n o t a t i o n > < A n n o t a t i o n > < N a m e > A g g r e g a t i o n < / N a m e > < V a l u e > A v e r a g e < / V a l u e > < / A n n o t a t i o n > < / A n n o t a t i o n s > < C a l c u l a t i o n R e f e r e n c e > [ A v e r a g e   o f   G A   b e d   o c c u p a n c y ] < / 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 c o r e   b e d s   a v a i l < / V a l u e > < / A n n o t a t i o n > < A n n o t a t i o n > < N a m e > A g g r e g a t i o n < / N a m e > < V a l u e > S u m < / V a l u e > < / A n n o t a t i o n > < / A n n o t a t i o n s > < C a l c u l a t i o n R e f e r e n c e > [ S u m   o f   G A   c o r e 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 e s c a l a t i o n   b e d s   a v a i l < / V a l u e > < / A n n o t a t i o n > < A n n o t a t i o n > < N a m e > A g g r e g a t i o n < / N a m e > < V a l u e > S u m < / V a l u e > < / A n n o t a t i o n > < / A n n o t a t i o n s > < C a l c u l a t i o n R e f e r e n c e > [ S u m   o f   G A   e s c a l a t i o n 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 B e d s   o c c   o v e r   1 4   d a y s < / V a l u e > < / A n n o t a t i o n > < A n n o t a t i o n > < N a m e > A g g r e g a t i o n < / N a m e > < V a l u e > S u m < / V a l u e > < / A n n o t a t i o n > < / A n n o t a t i o n s > < C a l c u l a t i o n R e f e r e n c e > [ S u m   o f   B e d s   o c c   o v e r   1 4   d a y s ] 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 B e d s   o c c   o v e r   1 4   d a y s < / V a l u e > < / A n n o t a t i o n > < A n n o t a t i o n > < N a m e > A g g r e g a t i o n < / N a m e > < V a l u e > S u m < / V a l u e > < / A n n o t a t i o n > < / A n n o t a t i o n s > < C a l c u l a t i o n R e f e r e n c e > [ S u m   o f   B e d s   o c c   o v e r   1 4   d a y s   2 ] < / C a l c u l a t i o n R e f e r e n c e > < C a l c u l a t i o n T y p e > M e m b e r < / C a l c u l a t i o n T y p e > < F o r m a t S t r i n g > ' ' < / F o r m a t S t r i n g > < d d l 3 0 0 : V i s u a l i z a t i o n P r o p e r t i e s > < d d l 3 0 0 : I s S i m p l e M e a s u r e > t r u e < / d d l 3 0 0 : I s S i m p l e M e a s u r e > < / d d l 3 0 0 : V i s u a l i z a t i o n P r o p e r t i e s > < / 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 2 5 c f a f c b - a 9 8 0 - 4 1 4 2 - 8 7 8 c - 1 d a d 5 9 5 7 9 3 4 c < / I D > < N a m e > e - b a s e . n h s p r o v i d e r s . o r g < / N a m e > < A n n o t a t i o n s > < A n n o t a t i o n > < N a m e > C o n n e c t i o n E d i t U I S o u r c e < / N a m e > < V a l u e > S q l S e r v e r < / V a l u e > < / A n n o t a t i o n > < / A n n o t a t i o n s > < C o n n e c t i o n S t r i n g > P r o v i d e r = S Q L N C L I 1 0 ; D a t a   S o u r c e = e - b a s e . n h s p r o v i d e r s . o r g ; I n i t i a l   C a t a l o g = F T N ; U s e r   I D = k e h i n d e . o l a d i m e j i @ n h s p r o v i d e r s . o r g ; P e r s i s t   S e c u r i t y   I n f o = t r u e < / C o n n e c t i o n S t r i n g > < I m p e r s o n a t i o n I n f o > < I m p e r s o n a t i o n M o d e > I m p e r s o n a t e C u r r e n t U s e r < / I m p e r s o n a t i o n M o d e > < / I m p e r s o n a t i o n I n f o > < T i m e o u t > P T 0 S < / T i m e o u t > < / D a t a S o u r c e > < / D a t a S o u r c e s > < D a t a S o u r c e V i e w s > < D a t a S o u r c e V i e w > < I D > S a n d b o x < / I D > < N a m e > S a n d b o x < / N a m e > < D a t a S o u r c e I D > 2 5 c f a f c b - a 9 8 0 - 4 1 4 2 - 8 7 8 c - 1 d a d 5 9 5 7 9 3 4 c < / D a t a S o u r c e I D > < S c h e m a > < x s : s c h e m a   i d = " N e w D a t a S e t "   x m l n s = " "   x m l n s : x s = " h t t p : / / w w w . w 3 . o r g / 2 0 0 1 / X M L S c h e m a "   x m l n s : m s d a t a = " u r n : s c h e m a s - m i c r o s o f t - c o m : x m l - m s d a t a "   x m l n s : m s p r o p = " u r n : s c h e m a s - m i c r o s o f t - c o m : x m l - m s p r o p " > < x s : e l e m e n t   n a m e = " N e w D a t a S e t "   m s d a t a : I s D a t a S e t = " t r u e "   m s d a t a : L o c a l e = " e n - G B " > < x s : c o m p l e x T y p e > < x s : c h o i c e   m i n O c c u r s = " 0 "   m a x O c c u r s = " u n b o u n d e d " > < x s : e l e m e n t   n a m e = " W i n t e r _ x 0 0 2 0 _ d a i l y _ x 0 0 2 0 _ s i t r e p s _ 1 d f 8 1 2 b b - 9 f c 3 - 4 6 7 4 - 8 d 4 1 - 6 0 c 6 7 2 6 a 8 e f 3 "   m s d a t a : L o c a l e = " "   m s p r o p : I s L o g i c a l = " T r u e "   m s p r o p : F r i e n d l y N a m e = " W i n t e r   d a i l y   s i t r e p s "   m s p r o p : D b S c h e m a N a m e = " a d b "   m s p r o p : D b T a b l e N a m e = " W i n t e r   d a i l y   s i t r e p s "   m s p r o p : T a b l e T y p e = " V i e w "   m s p r o p : D e s c r i p t i o n = " W i n t e r   d a i l y   s i t r e p s "   m s p r o p : Q u e r y D e f i n i t i o n = "             S E L E C T   [ a d b ] . [ W i n t e r   d a i l y   s i t r e p s ] . *       F R O M   [ a d b ] . [ W i n t e r   d a i l y   s i t r e p s ]   " > < x s : c o m p l e x T y p e > < x s : s e q u e n c e > < x s : e l e m e n t   n a m e = " I D "   m s p r o p : D b C o l u m n N a m e = " I D "   m s p r o p : F r i e n d l y N a m e = " I D "   t y p e = " x s : l o n g "   / > < x s : e l e m e n t   n a m e = " c r i _ i d "   m s p r o p : D b C o l u m n N a m e = " c r i _ i d "   m s p r o p : F r i e n d l y N a m e = " c r i _ i d "   t y p e = " x s : l o n g "   m i n O c c u r s = " 0 "   / > < x s : e l e m e n t   n a m e = " d r _ i d "   m s p r o p : D b C o l u m n N a m e = " d r _ i d "   m s p r o p : F r i e n d l y N a m e = " d r _ i d "   t y p e = " x s : l o n g "   m i n O c c u r s = " 0 "   / > < x s : e l e m e n t   n a m e = " o r g _ i d "   m s p r o p : D b C o l u m n N a m e = " o r g _ i d "   m s p r o p : F r i e n d l y N a m e = " o r g _ i d "   t y p e = " x s : l o n g "   m i n O c c u r s = " 0 "   / > < x s : e l e m e n t   n a m e = " c r i _ d a t a p e r i o d s t a r t "   m s p r o p : D b C o l u m n N a m e = " c r i _ d a t a p e r i o d s t a r t "   m s p r o p : F r i e n d l y N a m e = " c r i _ d a t a p e r i o d s t a r t "   t y p e = " x s : d a t e T i m e "   m i n O c c u r s = " 0 "   / > < x s : e l e m e n t   n a m e = " C o d e "   m s p r o p : D b C o l u m n N a m e = " C o d e "   m s p r o p : F r i e n d l y N a m e = " C o d e "   m i n O c c u r s = " 0 " > < x s : s i m p l e T y p e > < x s : r e s t r i c t i o n   b a s e = " x s : s t r i n g " > < x s : m a x L e n g t h   v a l u e = " 1 3 1 0 7 2 "   / > < / x s : r e s t r i c t i o n > < / x s : s i m p l e T y p e > < / x s : e l e m e n t > < x s : e l e m e n t   n a m e = " N a m e "   m s p r o p : D b C o l u m n N a m e = " N a m e "   m s p r o p : F r i e n d l y N a m e = " N a m e "   m i n O c c u r s = " 0 " > < x s : s i m p l e T y p e > < x s : r e s t r i c t i o n   b a s e = " x s : s t r i n g " > < x s : m a x L e n g t h   v a l u e = " 1 3 1 0 7 2 "   / > < / x s : r e s t r i c t i o n > < / x s : s i m p l e T y p e > < / x s : e l e m e n t > < x s : e l e m e n t   n a m e = " D a t e "   m s p r o p : D b C o l u m n N a m e = " D a t e "   m s p r o p : F r i e n d l y N a m e = " D a t e "   m i n O c c u r s = " 0 " > < x s : s i m p l e T y p e > < x s : r e s t r i c t i o n   b a s e = " x s : s t r i n g " > < x s : m a x L e n g t h   v a l u e = " 1 3 1 0 7 2 "   / > < / x s : r e s t r i c t i o n > < / x s : s i m p l e T y p e > < / x s : e l e m e n t > < x s : e l e m e n t   n a m e = " W e e k "   m s p r o p : D b C o l u m n N a m e = " W e e k "   m s p r o p : F r i e n d l y N a m e = " W e e k "   t y p e = " x s : d o u b l e "   m i n O c c u r s = " 0 "   / > < x s : e l e m e n t   n a m e = " D a y "   m s p r o p : D b C o l u m n N a m e = " D a y "   m s p r o p : F r i e n d l y N a m e = " D a y "   m i n O c c u r s = " 0 " > < x s : s i m p l e T y p e > < x s : r e s t r i c t i o n   b a s e = " x s : s t r i n g " > < x s : m a x L e n g t h   v a l u e = " 1 3 1 0 7 2 "   / > < / x s : r e s t r i c t i o n > < / x s : s i m p l e T y p e > < / x s : e l e m e n t > < x s : e l e m e n t   n a m e = " B a n k _ x 0 0 2 0 _ h o l i d a y "   m s p r o p : D b C o l u m n N a m e = " B a n k   h o l i d a y "   m s p r o p : F r i e n d l y N a m e = " B a n k   h o l i d a y "   t y p e = " x s : d o u b l e "   m i n O c c u r s = " 0 "   / > < x s : e l e m e n t   n a m e = " A _ x 0 0 2 6 _ E _ x 0 0 2 0 _ c l o s u r e s "   m s p r o p : D b C o l u m n N a m e = " A & a m p ; E   c l o s u r e s "   m s p r o p : F r i e n d l y N a m e = " A E   c l o s u r e s "   t y p e = " x s : d o u b l e "   m i n O c c u r s = " 0 "   / > < x s : e l e m e n t   n a m e = " A _ x 0 0 2 6 _ E _ x 0 0 2 0 _ d i v e r t s "   m s p r o p : D b C o l u m n N a m e = " A & a m p ; E   d i v e r t s "   m s p r o p : F r i e n d l y N a m e = " A E   d i v e r t s "   t y p e = " x s : d o u b l e "   m i n O c c u r s = " 0 "   / > < x s : e l e m e n t   n a m e = " A _ x 0 0 2 6 _ E _ x 0 0 2 0 _ t y p e _ x 0 0 2 0 _ 1 _ x 0 0 2 0 _ a t t e n d a n c e s "   m s p r o p : D b C o l u m n N a m e = " A & a m p ; E   t y p e   1   a t t e n d a n c e s "   m s p r o p : F r i e n d l y N a m e = " A E   t y p e   1   a t t e n d a n c e s "   t y p e = " x s : d o u b l e "   m i n O c c u r s = " 0 "   / > < x s : e l e m e n t   n a m e = " A _ x 0 0 2 6 _ E _ x 0 0 2 0 _ t y p e _ x 0 0 2 0 _ 2 _ x 0 0 2 0 _ a t t e n d a n c e s "   m s p r o p : D b C o l u m n N a m e = " A & a m p ; E   t y p e   2   a t t e n d a n c e s "   m s p r o p : F r i e n d l y N a m e = " A E   t y p e   2   a t t e n d a n c e s "   t y p e = " x s : d o u b l e "   m i n O c c u r s = " 0 "   / > < x s : e l e m e n t   n a m e = " A _ x 0 0 2 6 _ E _ x 0 0 2 0 _ t y p e _ x 0 0 2 0 _ 3 _ x 0 0 2 0 _ a t t e n d a n c e s "   m s p r o p : D b C o l u m n N a m e = " A & a m p ; E   t y p e   3   a t t e n d a n c e s "   m s p r o p : F r i e n d l y N a m e = " A E   t y p e   3   a t t e n d a n c e s "   t y p e = " x s : d o u b l e "   m i n O c c u r s = " 0 "   / > < x s : e l e m e n t   n a m e = " A _ x 0 0 2 6 _ E _ x 0 0 2 0 _ t o t a l _ x 0 0 2 0 _ a t t e n d a n c e s "   m s p r o p : D b C o l u m n N a m e = " A & a m p ; E   t o t a l   a t t e n d a n c e s "   m s p r o p : F r i e n d l y N a m e = " A E   t o t a l   a t t e n d a n c e s "   t y p e = " x s : d o u b l e "   m i n O c c u r s = " 0 "   / > < x s : e l e m e n t   n a m e = " E m e r g e n c y _ x 0 0 2 0 _ a d m i s s i o n s "   m s p r o p : D b C o l u m n N a m e = " E m e r g e n c y   a d m i s s i o n s "   m s p r o p : F r i e n d l y N a m e = " E m e r g e n c y   a d m i s s i o n s "   t y p e = " x s : d o u b l e "   m i n O c c u r s = " 0 "   / > < x s : e l e m e n t   n a m e = " G _ x 0 0 2 6 _ A _ x 0 0 2 0 _ c o r e _ x 0 0 2 0 _ b e d s _ x 0 0 2 0 _ a v a i l "   m s p r o p : D b C o l u m n N a m e = " G & a m p ; A   c o r e   b e d s   a v a i l "   m s p r o p : F r i e n d l y N a m e = " G A   c o r e   b e d s   a v a i l "   t y p e = " x s : d o u b l e "   m i n O c c u r s = " 0 "   / > < x s : e l e m e n t   n a m e = " G _ x 0 0 2 6 _ A _ x 0 0 2 0 _ e s c a l a t i o n _ x 0 0 2 0 _ b e d s _ x 0 0 2 0 _ a v a i l "   m s p r o p : D b C o l u m n N a m e = " G & a m p ; A   e s c a l a t i o n   b e d s   a v a i l "   m s p r o p : F r i e n d l y N a m e = " G A   e s c a l a t i o n   b e d s   a v a i l "   t y p e = " x s : d o u b l e "   m i n O c c u r s = " 0 "   / > < x s : e l e m e n t   n a m e = " G _ x 0 0 2 6 _ A _ x 0 0 2 0 _ t o t a l _ x 0 0 2 0 _ b e d s _ x 0 0 2 0 _ a v a i l "   m s p r o p : D b C o l u m n N a m e = " G & a m p ; A   t o t a l   b e d s   a v a i l "   m s p r o p : F r i e n d l y N a m e = " G A   t o t a l   b e d s   a v a i l "   t y p e = " x s : d o u b l e "   m i n O c c u r s = " 0 "   / > < x s : e l e m e n t   n a m e = " G _ x 0 0 2 6 _ A _ x 0 0 2 0 _ t o t a l _ x 0 0 2 0 _ b e d s _ x 0 0 2 0 _ o c c u p i e d "   m s p r o p : D b C o l u m n N a m e = " G & a m p ; A   t o t a l   b e d s   o c c u p i e d "   m s p r o p : F r i e n d l y N a m e = " G A   t o t a l   b e d s   o c c u p i e d "   t y p e = " x s : d o u b l e "   m i n O c c u r s = " 0 "   / > < x s : e l e m e n t   n a m e = " B e d s _ x 0 0 2 0 _ c l o s e d _ x 0 0 2 0 _ n o r o v i r u s "   m s p r o p : D b C o l u m n N a m e = " B e d s   c l o s e d   n o r o v i r u s "   m s p r o p : F r i e n d l y N a m e = " B e d s   c l o s e d   n o r o v i r u s "   t y p e = " x s : d o u b l e "   m i n O c c u r s = " 0 "   / > < x s : e l e m e n t   n a m e = " B e d s _ x 0 0 2 0 _ c l o s e d _ x 0 0 2 0 _ n o r o v i u s _ x 0 0 2 0 _ u n o c c "   m s p r o p : D b C o l u m n N a m e = " B e d s   c l o s e d   n o r o v i u s   u n o c c "   m s p r o p : F r i e n d l y N a m e = " B e d s   c l o s e d   n o r o v i u s   u n o c c "   t y p e = " x s : d o u b l e "   m i n O c c u r s = " 0 "   / > < x s : e l e m e n t   n a m e = " A d u l t _ x 0 0 2 0 _ C C _ x 0 0 2 0 _ b e d s _ x 0 0 2 0 _ a v a i l "   m s p r o p : D b C o l u m n N a m e = " A d u l t   C C   b e d s   a v a i l "   m s p r o p : F r i e n d l y N a m e = " A d u l t   C C   b e d s   a v a i l "   t y p e = " x s : d o u b l e "   m i n O c c u r s = " 0 "   / > < x s : e l e m e n t   n a m e = " A d u l t _ x 0 0 2 0 _ C C _ x 0 0 2 0 _ b e d s _ x 0 0 2 0 _ o c c "   m s p r o p : D b C o l u m n N a m e = " A d u l t   C C   b e d s   o c c "   m s p r o p : F r i e n d l y N a m e = " A d u l t   C C   b e d s   o c c "   t y p e = " x s : d o u b l e "   m i n O c c u r s = " 0 "   / > < x s : e l e m e n t   n a m e = " P a e d _ x 0 0 2 0 _ I n t _ x 0 0 2 0 _ C a r e _ x 0 0 2 0 _ A v a i l "   m s p r o p : D b C o l u m n N a m e = " P a e d   I n t   C a r e   A v a i l "   m s p r o p : F r i e n d l y N a m e = " P a e d   I n t   C a r e   A v a i l "   t y p e = " x s : d o u b l e "   m i n O c c u r s = " 0 "   / > < x s : e l e m e n t   n a m e = " P a e d _ x 0 0 2 0 _ I n t _ x 0 0 2 0 _ C a r e _ x 0 0 2 0 _ O c c "   m s p r o p : D b C o l u m n N a m e = " P a e d   I n t   C a r e   O c c "   m s p r o p : F r i e n d l y N a m e = " P a e d   I n t   C a r e   O c c "   t y p e = " x s : d o u b l e "   m i n O c c u r s = " 0 "   / > < x s : e l e m e n t   n a m e = " N e o _ x 0 0 2 0 _ I n t _ x 0 0 2 0 _ C a r e _ x 0 0 2 0 _ A v a i l "   m s p r o p : D b C o l u m n N a m e = " N e o   I n t   C a r e   A v a i l "   m s p r o p : F r i e n d l y N a m e = " N e o   I n t   C a r e   A v a i l "   t y p e = " x s : d o u b l e "   m i n O c c u r s = " 0 "   / > < x s : e l e m e n t   n a m e = " N e o _ x 0 0 2 0 _ I n t _ x 0 0 2 0 _ C a r e _ x 0 0 2 0 _ o c c "   m s p r o p : D b C o l u m n N a m e = " N e o   I n t   C a r e   o c c "   m s p r o p : F r i e n d l y N a m e = " N e o   I n t   C a r e   o c c "   t y p e = " x s : d o u b l e "   m i n O c c u r s = " 0 "   / > < x s : e l e m e n t   n a m e = " O P E L _ x 0 0 2 0 _ 3 _ x 0 0 2 0 _ o r _ x 0 0 2 0 _ a b o v e "   m s p r o p : D b C o l u m n N a m e = " O P E L   3   o r   a b o v e "   m s p r o p : F r i e n d l y N a m e = " O P E L   3   o r   a b o v e "   t y p e = " x s : d o u b l e "   m i n O c c u r s = " 0 "   / > < x s : e l e m e n t   n a m e = " W e e k e n d "   m s p r o p : D b C o l u m n N a m e = " W e e k e n d "   m s p r o p : F r i e n d l y N a m e = " W e e k e n d "   t y p e = " x s : d o u b l e "   m i n O c c u r s = " 0 "   / > < x s : e l e m e n t   n a m e = " R e g i o n "   m s p r o p : D b C o l u m n N a m e = " R e g i o n "   m s p r o p : F r i e n d l y N a m e = " R e g i o n "   m i n O c c u r s = " 0 " > < x s : s i m p l e T y p e > < x s : r e s t r i c t i o n   b a s e = " x s : s t r i n g " > < x s : m a x L e n g t h   v a l u e = " 1 3 1 0 7 2 "   / > < / x s : r e s t r i c t i o n > < / x s : s i m p l e T y p e > < / x s : e l e m e n t > < x s : e l e m e n t   n a m e = " Y e a r "   m s p r o p : D b C o l u m n N a m e = " Y e a r "   m s p r o p : F r i e n d l y N a m e = " Y e a r "   m i n O c c u r s = " 0 " > < x s : s i m p l e T y p e > < x s : r e s t r i c t i o n   b a s e = " x s : s t r i n g " > < x s : m a x L e n g t h   v a l u e = " 1 3 1 0 7 2 "   / > < / x s : r e s t r i c t i o n > < / x s : s i m p l e T y p e > < / x s : e l e m e n t > < x s : e l e m e n t   n a m e = " B e d s _ x 0 0 2 0 _ o c c _ x 0 0 2 0 _ o v e r _ x 0 0 2 0 _ 7 _ x 0 0 2 0 _ d a y s "   m s p r o p : D b C o l u m n N a m e = " B e d s   o c c   o v e r   7   d a y s "   m s p r o p : F r i e n d l y N a m e = " B e d s   o c c   o v e r   7   d a y s "   t y p e = " x s : d o u b l e "   m i n O c c u r s = " 0 "   / > < x s : e l e m e n t   n a m e = " B e d s _ x 0 0 2 0 _ o c c _ x 0 0 2 0 _ o v e r _ x 0 0 2 0 _ 2 1 _ x 0 0 2 0 _ d a y s "   m s p r o p : D b C o l u m n N a m e = " B e d s   o c c   o v e r   2 1   d a y s "   m s p r o p : F r i e n d l y N a m e = " B e d s   o c c   o v e r   2 1   d a y s "   t y p e = " x s : d o u b l e "   m i n O c c u r s = " 0 "   / > < x s : e l e m e n t   n a m e = " A m b _ x 0 0 2 0 _ a r r i v a l s "   m s p r o p : D b C o l u m n N a m e = " A m b   a r r i v a l s "   m s p r o p : F r i e n d l y N a m e = " A m b   a r r i v a l s "   t y p e = " x s : d o u b l e "   m i n O c c u r s = " 0 "   / > < x s : e l e m e n t   n a m e = " A m b _ x 0 0 2 0 _ d e l a y s _ x 0 0 2 0 _ 3 0 - 6 0 _ x 0 0 2 0 _ m i n s "   m s p r o p : D b C o l u m n N a m e = " A m b   d e l a y s   3 0 - 6 0   m i n s "   m s p r o p : F r i e n d l y N a m e = " A m b   d e l a y s   3 0 - 6 0   m i n s "   t y p e = " x s : d o u b l e "   m i n O c c u r s = " 0 "   / > < x s : e l e m e n t   n a m e = " A m b _ x 0 0 2 0 _ d e l a y s _ x 0 0 2 0 _ o v e r _ x 0 0 2 0 _ 6 0 _ x 0 0 2 0 _ m i n s "   m s p r o p : D b C o l u m n N a m e = " A m b   d e l a y s   o v e r   6 0   m i n s "   m s p r o p : F r i e n d l y N a m e = " A m b   d e l a y s   o v e r   6 0   m i n s "   t y p e = " x s : d o u b l e "   m i n O c c u r s = " 0 "   / > < x s : e l e m e n t   n a m e = " B e d s _ x 0 0 2 0 _ o c c _ x 0 0 2 0 _ o v e r _ x 0 0 2 0 _ 1 4 _ x 0 0 2 0 _ d a y s "   m s p r o p : F r i e n d l y N a m e = " B e d s   o c c   o v e r   1 4   d a y s "   t y p e = " x s : d o u b l e "   m i n O c c u r s = " 0 "   / > < / x s : s e q u e n c e > < / x s : c o m p l e x T y p e > < / x s : e l e m e n t > < / x s : c h o i c e > < / x s : c o m p l e x T y p e > < x s : u n i q u e   n a m e = " C o n s t r a i n t 1 "   m s d a t a : P r i m a r y K e y = " t r u e " > < x s : s e l e c t o r   x p a t h = " . / / W i n t e r _ x 0 0 2 0 _ d a i l y _ x 0 0 2 0 _ s i t r e p s _ 1 d f 8 1 2 b b - 9 f c 3 - 4 6 7 4 - 8 d 4 1 - 6 0 c 6 7 2 6 a 8 e f 3 "   / > < x s : f i e l d   x p a t h = " I D "   / > < / x s : u n i q u e > < / x s : e l e m e n t > < / x s : s c h e m a > < N e w D a t a S e t   x m l n s = " "   / > < / S c h e m a > < / D a t a S o u r c e V i e w > < / D a t a S o u r c e V i e w s > < / D a t a b a s e > < / O b j e c t D e f i n i t i o n > < / C r e a t e > ] ] > < / C u s t o m C o n t e n t > < / G e m i n i > 
</file>

<file path=customXml/item70.xml>��< ? x m l   v e r s i o n = " 1 . 0 "   e n c o d i n g = " U T F - 1 6 " ? > < G e m i n i   x m l n s = " h t t p : / / g e m i n i / p i v o t c u s t o m i z a t i o n / 7 c d b a 4 9 d - 4 c 8 e - 4 5 1 7 - a 4 e 1 - 6 f f 5 f e d b b 3 a 1 " > < C u s t o m C o n t e n t > < ! [ C D A T A [ < ? x m l   v e r s i o n = " 1 . 0 "   e n c o d i n g = " u t f - 1 6 " ? > < S e t t i n g s > < C a l c u l a t e d F i e l d s > < i t e m > < M e a s u r e N a m e > S u m   o f   A E   d i v e r t s < / M e a s u r e N a m e > < D i s p l a y N a m e > S u m   o f   A E   d i v e r t s < / D i s p l a y N a m e > < V i s i b l e > T r u e < / V i s i b l e > < / i t e m > < / C a l c u l a t e d F i e l d s > < S A H o s t H a s h > 0 < / S A H o s t H a s h > < G e m i n i F i e l d L i s t V i s i b l e > T r u e < / G e m i n i F i e l d L i s t V i s i b l e > < / S e t t i n g s > ] ] > < / C u s t o m C o n t e n t > < / G e m i n i > 
</file>

<file path=customXml/item71.xml><?xml version="1.0" encoding="utf-8"?>
<?mso-contentType ?>
<FormTemplates xmlns="http://schemas.microsoft.com/sharepoint/v3/contenttype/forms">
  <Display>DocumentLibraryForm</Display>
  <Edit>DocumentLibraryForm</Edit>
  <New>DocumentLibraryForm</New>
</FormTemplates>
</file>

<file path=customXml/item72.xml>��< ? x m l   v e r s i o n = " 1 . 0 "   e n c o d i n g = " U T F - 1 6 " ? > < G e m i n i   x m l n s = " h t t p : / / g e m i n i / p i v o t c u s t o m i z a t i o n / C l i e n t W i n d o w X M L " > < C u s t o m C o n t e n t > < ! [ C D A T A [ W i n t e r   d a i l y   s i t r e p s _ 1 d f 8 1 2 b b - 9 f c 3 - 4 6 7 4 - 8 d 4 1 - 6 0 c 6 7 2 6 a 8 e f 3 ] ] > < / C u s t o m C o n t e n t > < / G e m i n i > 
</file>

<file path=customXml/item73.xml>��< ? x m l   v e r s i o n = " 1 . 0 "   e n c o d i n g = " U T F - 1 6 " ? > < G e m i n i   x m l n s = " h t t p : / / g e m i n i / p i v o t c u s t o m i z a t i o n / S a n d b o x N o n E m p t y " > < C u s t o m C o n t e n t > < ! [ C D A T A [ 1 ] ] > < / C u s t o m C o n t e n t > < / G e m i n i > 
</file>

<file path=customXml/item74.xml>��< ? x m l   v e r s i o n = " 1 . 0 "   e n c o d i n g = " U T F - 1 6 " ? > < G e m i n i   x m l n s = " h t t p : / / g e m i n i / p i v o t c u s t o m i z a t i o n / 4 c 2 2 a 1 4 f - 6 2 e f - 4 5 5 b - 9 7 2 d - 9 1 4 7 2 9 2 2 3 0 5 8 " > < 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 1 8 9 6 1 1 5 6 5 9 < / S A H o s t H a s h > < G e m i n i F i e l d L i s t V i s i b l e > T r u e < / G e m i n i F i e l d L i s t V i s i b l e > < / S e t t i n g s > ] ] > < / C u s t o m C o n t e n t > < / G e m i n i > 
</file>

<file path=customXml/item75.xml>��< ? x m l   v e r s i o n = " 1 . 0 "   e n c o d i n g = " U T F - 1 6 " ? > < G e m i n i   x m l n s = " h t t p : / / g e m i n i / p i v o t c u s t o m i z a t i o n / P r e v i o u s D i a g r a m " > < C u s t o m C o n t e n t > < ! [ C D A T A [ < S a n d b o x E d i t o r D i a g r a m K e y   i : n i l = " t r u e "   x m l n s = " h t t p : / / s c h e m a s . d a t a c o n t r a c t . o r g / 2 0 0 4 / 0 7 / M i c r o s o f t . A n a l y s i s S e r v i c e s . C o m m o n "   x m l n s : i = " h t t p : / / w w w . w 3 . o r g / 2 0 0 1 / X M L S c h e m a - i n s t a n c e " / > ] ] > < / C u s t o m C o n t e n t > < / G e m i n i > 
</file>

<file path=customXml/item76.xml><?xml version="1.0" encoding="utf-8"?>
<ct:contentTypeSchema xmlns:ct="http://schemas.microsoft.com/office/2006/metadata/contentType" xmlns:ma="http://schemas.microsoft.com/office/2006/metadata/properties/metaAttributes" ct:_="" ma:_="" ma:contentTypeName="Document" ma:contentTypeID="0x01010036361F09B21A804F824D0804817B9451" ma:contentTypeVersion="11" ma:contentTypeDescription="Create a new document." ma:contentTypeScope="" ma:versionID="91510445d66705b9069f03585da45971">
  <xsd:schema xmlns:xsd="http://www.w3.org/2001/XMLSchema" xmlns:xs="http://www.w3.org/2001/XMLSchema" xmlns:p="http://schemas.microsoft.com/office/2006/metadata/properties" xmlns:ns2="47dd78af-cfc5-4e7a-8799-591ad7ced2cf" xmlns:ns3="91879da0-9969-4788-bbb1-7f1899c198fe" targetNamespace="http://schemas.microsoft.com/office/2006/metadata/properties" ma:root="true" ma:fieldsID="f508df1d3af451c5ed4b816c78fe8488" ns2:_="" ns3:_="">
    <xsd:import namespace="47dd78af-cfc5-4e7a-8799-591ad7ced2cf"/>
    <xsd:import namespace="91879da0-9969-4788-bbb1-7f1899c198f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dd78af-cfc5-4e7a-8799-591ad7ced2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1879da0-9969-4788-bbb1-7f1899c198fe"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77.xml>��< ? x m l   v e r s i o n = " 1 . 0 "   e n c o d i n g = " U T F - 1 6 " ? > < G e m i n i   x m l n s = " h t t p : / / g e m i n i / p i v o t c u s t o m i z a t i o n / T a b l e X M L _ W i n t e r   d a i l y   s i t r e p s _ 1 d f 8 1 2 b b - 9 f c 3 - 4 6 7 4 - 8 d 4 1 - 6 0 c 6 7 2 6 a 8 e f 3 " > < C u s t o m C o n t e n t > < ! [ C D A T A [ < T a b l e W i d g e t G r i d S e r i a l i z a t i o n   x m l n s : x s d = " h t t p : / / w w w . w 3 . o r g / 2 0 0 1 / X M L S c h e m a "   x m l n s : x s i = " h t t p : / / w w w . w 3 . o r g / 2 0 0 1 / X M L S c h e m a - i n s t a n c e " > < C o l u m n S u g g e s t e d T y p e > < i t e m > < k e y > < s t r i n g > D a t e < / s t r i n g > < / k e y > < v a l u e > < s t r i n g > E m p t y < / s t r i n g > < / v a l u e > < / i t e m > < / C o l u m n S u g g e s t e d T y p e > < C o l u m n F o r m a t   / > < C o l u m n A c c u r a c y   / > < C o l u m n C u r r e n c y S y m b o l   / > < C o l u m n P o s i t i v e P a t t e r n   / > < C o l u m n N e g a t i v e P a t t e r n   / > < C o l u m n W i d t h s > < i t e m > < k e y > < s t r i n g > I D < / s t r i n g > < / k e y > < v a l u e > < i n t > 5 4 < / i n t > < / v a l u e > < / i t e m > < i t e m > < k e y > < s t r i n g > c r i _ i d < / s t r i n g > < / k e y > < v a l u e > < i n t > 7 5 < / i n t > < / v a l u e > < / i t e m > < i t e m > < k e y > < s t r i n g > d r _ i d < / s t r i n g > < / k e y > < v a l u e > < i n t > 7 3 < / i n t > < / v a l u e > < / i t e m > < i t e m > < k e y > < s t r i n g > o r g _ i d < / s t r i n g > < / k e y > < v a l u e > < i n t > 8 0 < / i n t > < / v a l u e > < / i t e m > < i t e m > < k e y > < s t r i n g > c r i _ d a t a p e r i o d s t a r t < / s t r i n g > < / k e y > < v a l u e > < i n t > 1 5 9 < / i n t > < / v a l u e > < / i t e m > < i t e m > < k e y > < s t r i n g > C o d e < / s t r i n g > < / k e y > < v a l u e > < i n t > 7 3 < / i n t > < / v a l u e > < / i t e m > < i t e m > < k e y > < s t r i n g > N a m e < / s t r i n g > < / k e y > < v a l u e > < i n t > 7 8 < / i n t > < / v a l u e > < / i t e m > < i t e m > < k e y > < s t r i n g > D a t e < / s t r i n g > < / k e y > < v a l u e > < i n t > 7 0 < / i n t > < / v a l u e > < / i t e m > < i t e m > < k e y > < s t r i n g > W e e k < / s t r i n g > < / k e y > < v a l u e > < i n t > 7 6 < / i n t > < / v a l u e > < / i t e m > < i t e m > < k e y > < s t r i n g > D a y < / s t r i n g > < / k e y > < v a l u e > < i n t > 6 4 < / i n t > < / v a l u e > < / i t e m > < i t e m > < k e y > < s t r i n g > B a n k   h o l i d a y < / s t r i n g > < / k e y > < v a l u e > < i n t > 1 2 0 < / i n t > < / v a l u e > < / i t e m > < i t e m > < k e y > < s t r i n g > A E   c l o s u r e s < / s t r i n g > < / k e y > < v a l u e > < i n t > 1 1 1 < / i n t > < / v a l u e > < / i t e m > < i t e m > < k e y > < s t r i n g > A E   d i v e r t s < / s t r i n g > < / k e y > < v a l u e > < i n t > 1 0 3 < / i n t > < / v a l u e > < / i t e m > < i t e m > < k e y > < s t r i n g > A E   t y p e   1   a t t e n d a n c e s < / s t r i n g > < / k e y > < v a l u e > < i n t > 1 7 7 < / i n t > < / v a l u e > < / i t e m > < i t e m > < k e y > < s t r i n g > A E   t y p e   2   a t t e n d a n c e s < / s t r i n g > < / k e y > < v a l u e > < i n t > 1 7 7 < / i n t > < / v a l u e > < / i t e m > < i t e m > < k e y > < s t r i n g > A E   t y p e   3   a t t e n d a n c e s < / s t r i n g > < / k e y > < v a l u e > < i n t > 1 7 7 < / i n t > < / v a l u e > < / i t e m > < i t e m > < k e y > < s t r i n g > A E   t o t a l   a t t e n d a n c e s < / s t r i n g > < / k e y > < v a l u e > < i n t > 1 6 8 < / i n t > < / v a l u e > < / i t e m > < i t e m > < k e y > < s t r i n g > E m e r g e n c y   a d m i s s i o n s < / s t r i n g > < / k e y > < v a l u e > < i n t > 1 8 1 < / i n t > < / v a l u e > < / i t e m > < i t e m > < k e y > < s t r i n g > G A   c o r e   b e d s   a v a i l < / s t r i n g > < / k e y > < v a l u e > < i n t > 1 5 4 < / i n t > < / v a l u e > < / i t e m > < i t e m > < k e y > < s t r i n g > G A   e s c a l a t i o n   b e d s   a v a i l < / s t r i n g > < / k e y > < v a l u e > < i n t > 1 8 9 < / i n t > < / v a l u e > < / i t e m > < i t e m > < k e y > < s t r i n g > G A   t o t a l   b e d s   a v a i l < / s t r i n g > < / k e y > < v a l u e > < i n t > 1 5 6 < / i n t > < / v a l u e > < / i t e m > < i t e m > < k e y > < s t r i n g > G A   t o t a l   b e d s   o c c u p i e d < / s t r i n g > < / k e y > < v a l u e > < i n t > 1 8 3 < / i n t > < / v a l u e > < / i t e m > < i t e m > < k e y > < s t r i n g > B e d s   c l o s e d   n o r o v i r u s < / s t r i n g > < / k e y > < v a l u e > < i n t > 1 7 6 < / i n t > < / v a l u e > < / i t e m > < i t e m > < k e y > < s t r i n g > B e d s   c l o s e d   n o r o v i u s   u n o c c < / s t r i n g > < / k e y > < v a l u e > < i n t > 2 1 0 < / i n t > < / v a l u e > < / i t e m > < i t e m > < k e y > < s t r i n g > A d u l t   C C   b e d s   a v a i l < / s t r i n g > < / k e y > < v a l u e > < i n t > 1 5 9 < / i n t > < / v a l u e > < / i t e m > < i t e m > < k e y > < s t r i n g > A d u l t   C C   b e d s   o c c < / s t r i n g > < / k e y > < v a l u e > < i n t > 1 5 0 < / i n t > < / v a l u e > < / i t e m > < i t e m > < k e y > < s t r i n g > P a e d   I n t   C a r e   A v a i l < / s t r i n g > < / k e y > < v a l u e > < i n t > 1 5 7 < / i n t > < / v a l u e > < / i t e m > < i t e m > < k e y > < s t r i n g > P a e d   I n t   C a r e   O c c < / s t r i n g > < / k e y > < v a l u e > < i n t > 1 4 8 < / i n t > < / v a l u e > < / i t e m > < i t e m > < k e y > < s t r i n g > N e o   I n t   C a r e   A v a i l < / s t r i n g > < / k e y > < v a l u e > < i n t > 1 5 2 < / i n t > < / v a l u e > < / i t e m > < i t e m > < k e y > < s t r i n g > N e o   I n t   C a r e   o c c < / s t r i n g > < / k e y > < v a l u e > < i n t > 1 4 1 < / i n t > < / v a l u e > < / i t e m > < i t e m > < k e y > < s t r i n g > O P E L   3   o r   a b o v e < / s t r i n g > < / k e y > < v a l u e > < i n t > 1 3 9 < / i n t > < / v a l u e > < / i t e m > < i t e m > < k e y > < s t r i n g > W e e k e n d < / s t r i n g > < / k e y > < v a l u e > < i n t > 1 0 0 < / i n t > < / v a l u e > < / i t e m > < i t e m > < k e y > < s t r i n g > R e g i o n < / s t r i n g > < / k e y > < v a l u e > < i n t > 8 4 < / i n t > < / v a l u e > < / i t e m > < i t e m > < k e y > < s t r i n g > Y e a r < / s t r i n g > < / k e y > < v a l u e > < i n t > 6 7 < / i n t > < / v a l u e > < / i t e m > < i t e m > < k e y > < s t r i n g > B e d s   o c c   o v e r   7   d a y s < / s t r i n g > < / k e y > < v a l u e > < i n t > 1 6 6 < / i n t > < / v a l u e > < / i t e m > < i t e m > < k e y > < s t r i n g > B e d s   o c c   o v e r   2 1   d a y s < / s t r i n g > < / k e y > < v a l u e > < i n t > 1 7 3 < / i n t > < / v a l u e > < / i t e m > < i t e m > < k e y > < s t r i n g > A m b   a r r i v a l s < / s t r i n g > < / k e y > < v a l u e > < i n t > 1 1 8 < / i n t > < / v a l u e > < / i t e m > < i t e m > < k e y > < s t r i n g > A m b   d e l a y s   3 0 - 6 0   m i n s < / s t r i n g > < / k e y > < v a l u e > < i n t > 1 8 2 < / i n t > < / v a l u e > < / i t e m > < i t e m > < k e y > < s t r i n g > A m b   d e l a y s   o v e r   6 0   m i n s < / s t r i n g > < / k e y > < v a l u e > < i n t > 1 9 4 < / i n t > < / v a l u e > < / i t e m > < i t e m > < k e y > < s t r i n g > W e e k   l o n g < / s t r i n g > < / k e y > < v a l u e > < i n t > 1 6 1 < / i n t > < / v a l u e > < / i t e m > < i t e m > < k e y > < s t r i n g > G A   b e d   o c c u p a n c y < / s t r i n g > < / k e y > < v a l u e > < i n t > 1 6 1 < / i n t > < / v a l u e > < / i t e m > < i t e m > < k e y > < s t r i n g > B e d s   o c c   o v e r   1 4   d a y s < / s t r i n g > < / k e y > < v a l u e > < i n t > 1 7 3 < / i n t > < / v a l u e > < / i t e m > < / C o l u m n W i d t h s > < C o l u m n D i s p l a y I n d e x > < i t e m > < k e y > < s t r i n g > I D < / s t r i n g > < / k e y > < v a l u e > < i n t > 0 < / i n t > < / v a l u e > < / i t e m > < i t e m > < k e y > < s t r i n g > c r i _ i d < / s t r i n g > < / k e y > < v a l u e > < i n t > 1 < / i n t > < / v a l u e > < / i t e m > < i t e m > < k e y > < s t r i n g > d r _ i d < / s t r i n g > < / k e y > < v a l u e > < i n t > 2 < / i n t > < / v a l u e > < / i t e m > < i t e m > < k e y > < s t r i n g > o r g _ i d < / s t r i n g > < / k e y > < v a l u e > < i n t > 3 < / i n t > < / v a l u e > < / i t e m > < i t e m > < k e y > < s t r i n g > c r i _ d a t a p e r i o d s t a r t < / s t r i n g > < / k e y > < v a l u e > < i n t > 4 < / i n t > < / v a l u e > < / i t e m > < i t e m > < k e y > < s t r i n g > C o d e < / s t r i n g > < / k e y > < v a l u e > < i n t > 5 < / i n t > < / v a l u e > < / i t e m > < i t e m > < k e y > < s t r i n g > N a m e < / s t r i n g > < / k e y > < v a l u e > < i n t > 6 < / i n t > < / v a l u e > < / i t e m > < i t e m > < k e y > < s t r i n g > D a t e < / s t r i n g > < / k e y > < v a l u e > < i n t > 7 < / i n t > < / v a l u e > < / i t e m > < i t e m > < k e y > < s t r i n g > W e e k < / s t r i n g > < / k e y > < v a l u e > < i n t > 8 < / i n t > < / v a l u e > < / i t e m > < i t e m > < k e y > < s t r i n g > D a y < / s t r i n g > < / k e y > < v a l u e > < i n t > 1 0 < / i n t > < / v a l u e > < / i t e m > < i t e m > < k e y > < s t r i n g > B a n k   h o l i d a y < / s t r i n g > < / k e y > < v a l u e > < i n t > 1 1 < / i n t > < / v a l u e > < / i t e m > < i t e m > < k e y > < s t r i n g > A E   c l o s u r e s < / s t r i n g > < / k e y > < v a l u e > < i n t > 1 2 < / i n t > < / v a l u e > < / i t e m > < i t e m > < k e y > < s t r i n g > A E   d i v e r t s < / s t r i n g > < / k e y > < v a l u e > < i n t > 1 3 < / i n t > < / v a l u e > < / i t e m > < i t e m > < k e y > < s t r i n g > A E   t y p e   1   a t t e n d a n c e s < / s t r i n g > < / k e y > < v a l u e > < i n t > 1 4 < / i n t > < / v a l u e > < / i t e m > < i t e m > < k e y > < s t r i n g > A E   t y p e   2   a t t e n d a n c e s < / s t r i n g > < / k e y > < v a l u e > < i n t > 1 5 < / i n t > < / v a l u e > < / i t e m > < i t e m > < k e y > < s t r i n g > A E   t y p e   3   a t t e n d a n c e s < / s t r i n g > < / k e y > < v a l u e > < i n t > 1 6 < / i n t > < / v a l u e > < / i t e m > < i t e m > < k e y > < s t r i n g > A E   t o t a l   a t t e n d a n c e s < / s t r i n g > < / k e y > < v a l u e > < i n t > 1 7 < / i n t > < / v a l u e > < / i t e m > < i t e m > < k e y > < s t r i n g > E m e r g e n c y   a d m i s s i o n s < / s t r i n g > < / k e y > < v a l u e > < i n t > 1 8 < / i n t > < / v a l u e > < / i t e m > < i t e m > < k e y > < s t r i n g > G A   c o r e   b e d s   a v a i l < / s t r i n g > < / k e y > < v a l u e > < i n t > 1 9 < / i n t > < / v a l u e > < / i t e m > < i t e m > < k e y > < s t r i n g > G A   e s c a l a t i o n   b e d s   a v a i l < / s t r i n g > < / k e y > < v a l u e > < i n t > 2 0 < / i n t > < / v a l u e > < / i t e m > < i t e m > < k e y > < s t r i n g > G A   t o t a l   b e d s   a v a i l < / s t r i n g > < / k e y > < v a l u e > < i n t > 2 1 < / i n t > < / v a l u e > < / i t e m > < i t e m > < k e y > < s t r i n g > G A   t o t a l   b e d s   o c c u p i e d < / s t r i n g > < / k e y > < v a l u e > < i n t > 2 2 < / i n t > < / v a l u e > < / i t e m > < i t e m > < k e y > < s t r i n g > B e d s   c l o s e d   n o r o v i r u s < / s t r i n g > < / k e y > < v a l u e > < i n t > 2 4 < / i n t > < / v a l u e > < / i t e m > < i t e m > < k e y > < s t r i n g > B e d s   c l o s e d   n o r o v i u s   u n o c c < / s t r i n g > < / k e y > < v a l u e > < i n t > 2 5 < / i n t > < / v a l u e > < / i t e m > < i t e m > < k e y > < s t r i n g > A d u l t   C C   b e d s   a v a i l < / s t r i n g > < / k e y > < v a l u e > < i n t > 2 6 < / i n t > < / v a l u e > < / i t e m > < i t e m > < k e y > < s t r i n g > A d u l t   C C   b e d s   o c c < / s t r i n g > < / k e y > < v a l u e > < i n t > 2 7 < / i n t > < / v a l u e > < / i t e m > < i t e m > < k e y > < s t r i n g > P a e d   I n t   C a r e   A v a i l < / s t r i n g > < / k e y > < v a l u e > < i n t > 2 8 < / i n t > < / v a l u e > < / i t e m > < i t e m > < k e y > < s t r i n g > P a e d   I n t   C a r e   O c c < / s t r i n g > < / k e y > < v a l u e > < i n t > 2 9 < / i n t > < / v a l u e > < / i t e m > < i t e m > < k e y > < s t r i n g > N e o   I n t   C a r e   A v a i l < / s t r i n g > < / k e y > < v a l u e > < i n t > 3 0 < / i n t > < / v a l u e > < / i t e m > < i t e m > < k e y > < s t r i n g > N e o   I n t   C a r e   o c c < / s t r i n g > < / k e y > < v a l u e > < i n t > 3 1 < / i n t > < / v a l u e > < / i t e m > < i t e m > < k e y > < s t r i n g > O P E L   3   o r   a b o v e < / s t r i n g > < / k e y > < v a l u e > < i n t > 3 2 < / i n t > < / v a l u e > < / i t e m > < i t e m > < k e y > < s t r i n g > W e e k e n d < / s t r i n g > < / k e y > < v a l u e > < i n t > 3 3 < / i n t > < / v a l u e > < / i t e m > < i t e m > < k e y > < s t r i n g > R e g i o n < / s t r i n g > < / k e y > < v a l u e > < i n t > 3 4 < / i n t > < / v a l u e > < / i t e m > < i t e m > < k e y > < s t r i n g > Y e a r < / s t r i n g > < / k e y > < v a l u e > < i n t > 3 5 < / i n t > < / v a l u e > < / i t e m > < i t e m > < k e y > < s t r i n g > B e d s   o c c   o v e r   7   d a y s < / s t r i n g > < / k e y > < v a l u e > < i n t > 3 6 < / i n t > < / v a l u e > < / i t e m > < i t e m > < k e y > < s t r i n g > B e d s   o c c   o v e r   2 1   d a y s < / s t r i n g > < / k e y > < v a l u e > < i n t > 3 7 < / i n t > < / v a l u e > < / i t e m > < i t e m > < k e y > < s t r i n g > A m b   a r r i v a l s < / s t r i n g > < / k e y > < v a l u e > < i n t > 3 8 < / i n t > < / v a l u e > < / i t e m > < i t e m > < k e y > < s t r i n g > A m b   d e l a y s   3 0 - 6 0   m i n s < / s t r i n g > < / k e y > < v a l u e > < i n t > 3 9 < / i n t > < / v a l u e > < / i t e m > < i t e m > < k e y > < s t r i n g > A m b   d e l a y s   o v e r   6 0   m i n s < / s t r i n g > < / k e y > < v a l u e > < i n t > 4 0 < / i n t > < / v a l u e > < / i t e m > < i t e m > < k e y > < s t r i n g > W e e k   l o n g < / s t r i n g > < / k e y > < v a l u e > < i n t > 9 < / i n t > < / v a l u e > < / i t e m > < i t e m > < k e y > < s t r i n g > G A   b e d   o c c u p a n c y < / s t r i n g > < / k e y > < v a l u e > < i n t > 2 3 < / i n t > < / v a l u e > < / i t e m > < i t e m > < k e y > < s t r i n g > B e d s   o c c   o v e r   1 4   d a y s < / s t r i n g > < / k e y > < v a l u e > < i n t > 4 1 < / i n t > < / v a l u e > < / i t e m > < / C o l u m n D i s p l a y I n d e x > < C o l u m n F r o z e n   / > < C o l u m n C h e c k e d   / > < C o l u m n F i l t e r   / > < S e l e c t i o n F i l t e r   / > < F i l t e r P a r a m e t e r s   / > < S o r t B y C o l u m n   / > < I s S o r t D e s c e n d i n g > f a l s e < / I s S o r t D e s c e n d i n g > < / T a b l e W i d g e t G r i d S e r i a l i z a t i o n > ] ] > < / C u s t o m C o n t e n t > < / G e m i n i > 
</file>

<file path=customXml/item8.xml>��< ? x m l   v e r s i o n = " 1 . 0 "   e n c o d i n g = " U T F - 1 6 " ? > < G e m i n i   x m l n s = " h t t p : / / g e m i n i / p i v o t c u s t o m i z a t i o n / a 2 b b 9 c 2 e - 6 6 0 6 - 4 0 c 6 - 8 9 8 8 - 4 a 0 b 4 9 a 1 5 b 1 b " > < 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 1 7 4 5 2 4 5 8 0 8 < / S A H o s t H a s h > < G e m i n i F i e l d L i s t V i s i b l e > F a l s e < / G e m i n i F i e l d L i s t V i s i b l e > < / S e t t i n g s > ] ] > < / C u s t o m C o n t e n t > < / G e m i n i > 
</file>

<file path=customXml/item9.xml>��< ? x m l   v e r s i o n = " 1 . 0 "   e n c o d i n g = " U T F - 1 6 " ? > < G e m i n i   x m l n s = " h t t p : / / g e m i n i / p i v o t c u s t o m i z a t i o n / f b 0 6 9 d 2 9 - b 4 8 8 - 4 4 c f - b 4 d d - a 6 4 c 1 8 3 4 0 4 5 e " > < 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 L o n g   s t a y < / S l i c e r S h e e t N a m e > < S A H o s t H a s h > 3 2 3 6 7 7 5 6 0 < / S A H o s t H a s h > < G e m i n i F i e l d L i s t V i s i b l e > T r u e < / G e m i n i F i e l d L i s t V i s i b l e > < / S e t t i n g s > ] ] > < / C u s t o m C o n t e n t > < / G e m i n i > 
</file>

<file path=customXml/itemProps1.xml><?xml version="1.0" encoding="utf-8"?>
<ds:datastoreItem xmlns:ds="http://schemas.openxmlformats.org/officeDocument/2006/customXml" ds:itemID="{E7D26C60-69B7-4412-A51A-707C1699A24D}">
  <ds:schemaRefs/>
</ds:datastoreItem>
</file>

<file path=customXml/itemProps10.xml><?xml version="1.0" encoding="utf-8"?>
<ds:datastoreItem xmlns:ds="http://schemas.openxmlformats.org/officeDocument/2006/customXml" ds:itemID="{692BEAFB-9810-4653-B063-A2902C8EC437}">
  <ds:schemaRefs/>
</ds:datastoreItem>
</file>

<file path=customXml/itemProps11.xml><?xml version="1.0" encoding="utf-8"?>
<ds:datastoreItem xmlns:ds="http://schemas.openxmlformats.org/officeDocument/2006/customXml" ds:itemID="{82749D56-2707-4D10-B130-D6473AA6B880}">
  <ds:schemaRefs/>
</ds:datastoreItem>
</file>

<file path=customXml/itemProps12.xml><?xml version="1.0" encoding="utf-8"?>
<ds:datastoreItem xmlns:ds="http://schemas.openxmlformats.org/officeDocument/2006/customXml" ds:itemID="{63C45A72-0468-4F74-81BC-5F4E54D76756}">
  <ds:schemaRefs/>
</ds:datastoreItem>
</file>

<file path=customXml/itemProps13.xml><?xml version="1.0" encoding="utf-8"?>
<ds:datastoreItem xmlns:ds="http://schemas.openxmlformats.org/officeDocument/2006/customXml" ds:itemID="{4B07E5B7-FCA1-4C90-B542-303E95E1ADDD}">
  <ds:schemaRefs/>
</ds:datastoreItem>
</file>

<file path=customXml/itemProps14.xml><?xml version="1.0" encoding="utf-8"?>
<ds:datastoreItem xmlns:ds="http://schemas.openxmlformats.org/officeDocument/2006/customXml" ds:itemID="{EF056883-A245-4949-BA18-A5A3160865E3}">
  <ds:schemaRefs/>
</ds:datastoreItem>
</file>

<file path=customXml/itemProps15.xml><?xml version="1.0" encoding="utf-8"?>
<ds:datastoreItem xmlns:ds="http://schemas.openxmlformats.org/officeDocument/2006/customXml" ds:itemID="{31E3BE0F-6F5F-4C06-865A-8E90EDB8DBF5}">
  <ds:schemaRefs/>
</ds:datastoreItem>
</file>

<file path=customXml/itemProps16.xml><?xml version="1.0" encoding="utf-8"?>
<ds:datastoreItem xmlns:ds="http://schemas.openxmlformats.org/officeDocument/2006/customXml" ds:itemID="{C08DED25-9792-4983-8E34-1A45BC843FDA}">
  <ds:schemaRefs/>
</ds:datastoreItem>
</file>

<file path=customXml/itemProps17.xml><?xml version="1.0" encoding="utf-8"?>
<ds:datastoreItem xmlns:ds="http://schemas.openxmlformats.org/officeDocument/2006/customXml" ds:itemID="{1F7F5362-E8C6-44FC-883D-CE235AE113EB}">
  <ds:schemaRefs/>
</ds:datastoreItem>
</file>

<file path=customXml/itemProps18.xml><?xml version="1.0" encoding="utf-8"?>
<ds:datastoreItem xmlns:ds="http://schemas.openxmlformats.org/officeDocument/2006/customXml" ds:itemID="{E1B90C43-3F11-4884-94F2-22E161C921F1}">
  <ds:schemaRefs/>
</ds:datastoreItem>
</file>

<file path=customXml/itemProps19.xml><?xml version="1.0" encoding="utf-8"?>
<ds:datastoreItem xmlns:ds="http://schemas.openxmlformats.org/officeDocument/2006/customXml" ds:itemID="{1DEEBDAF-EA2E-4BEB-A7BE-7323FF61E876}">
  <ds:schemaRefs/>
</ds:datastoreItem>
</file>

<file path=customXml/itemProps2.xml><?xml version="1.0" encoding="utf-8"?>
<ds:datastoreItem xmlns:ds="http://schemas.openxmlformats.org/officeDocument/2006/customXml" ds:itemID="{18A8164D-E151-4DD8-B478-643D9EB33342}">
  <ds:schemaRefs/>
</ds:datastoreItem>
</file>

<file path=customXml/itemProps20.xml><?xml version="1.0" encoding="utf-8"?>
<ds:datastoreItem xmlns:ds="http://schemas.openxmlformats.org/officeDocument/2006/customXml" ds:itemID="{F00D7A3E-58A4-4283-A6B6-E951F08458DB}">
  <ds:schemaRefs/>
</ds:datastoreItem>
</file>

<file path=customXml/itemProps21.xml><?xml version="1.0" encoding="utf-8"?>
<ds:datastoreItem xmlns:ds="http://schemas.openxmlformats.org/officeDocument/2006/customXml" ds:itemID="{FBA84DCC-7FE9-418F-BD60-FC0195BE739B}">
  <ds:schemaRefs/>
</ds:datastoreItem>
</file>

<file path=customXml/itemProps22.xml><?xml version="1.0" encoding="utf-8"?>
<ds:datastoreItem xmlns:ds="http://schemas.openxmlformats.org/officeDocument/2006/customXml" ds:itemID="{2B120E71-B618-4E34-AEE1-1ECF88F32B22}">
  <ds:schemaRefs/>
</ds:datastoreItem>
</file>

<file path=customXml/itemProps23.xml><?xml version="1.0" encoding="utf-8"?>
<ds:datastoreItem xmlns:ds="http://schemas.openxmlformats.org/officeDocument/2006/customXml" ds:itemID="{54633324-C763-4430-BA45-DCAFF14D4BCA}">
  <ds:schemaRefs/>
</ds:datastoreItem>
</file>

<file path=customXml/itemProps24.xml><?xml version="1.0" encoding="utf-8"?>
<ds:datastoreItem xmlns:ds="http://schemas.openxmlformats.org/officeDocument/2006/customXml" ds:itemID="{6A18D57C-4583-4A27-B714-910FAE887E0F}">
  <ds:schemaRefs/>
</ds:datastoreItem>
</file>

<file path=customXml/itemProps25.xml><?xml version="1.0" encoding="utf-8"?>
<ds:datastoreItem xmlns:ds="http://schemas.openxmlformats.org/officeDocument/2006/customXml" ds:itemID="{24732C04-8A0D-4A50-9A9D-B07C1D4D11AE}">
  <ds:schemaRefs/>
</ds:datastoreItem>
</file>

<file path=customXml/itemProps26.xml><?xml version="1.0" encoding="utf-8"?>
<ds:datastoreItem xmlns:ds="http://schemas.openxmlformats.org/officeDocument/2006/customXml" ds:itemID="{6FF3CAA1-47F7-46D3-8FB8-4FB47AF80D9E}">
  <ds:schemaRefs/>
</ds:datastoreItem>
</file>

<file path=customXml/itemProps27.xml><?xml version="1.0" encoding="utf-8"?>
<ds:datastoreItem xmlns:ds="http://schemas.openxmlformats.org/officeDocument/2006/customXml" ds:itemID="{37DE9361-46CF-4D31-8E6C-95D4B9C305A7}">
  <ds:schemaRefs/>
</ds:datastoreItem>
</file>

<file path=customXml/itemProps28.xml><?xml version="1.0" encoding="utf-8"?>
<ds:datastoreItem xmlns:ds="http://schemas.openxmlformats.org/officeDocument/2006/customXml" ds:itemID="{5D8A9A8B-E3BB-4F4E-8157-AB25A9F68AFB}">
  <ds:schemaRefs/>
</ds:datastoreItem>
</file>

<file path=customXml/itemProps29.xml><?xml version="1.0" encoding="utf-8"?>
<ds:datastoreItem xmlns:ds="http://schemas.openxmlformats.org/officeDocument/2006/customXml" ds:itemID="{9F39419B-6E47-4CA1-B851-DEDD7A3A8D1B}">
  <ds:schemaRefs/>
</ds:datastoreItem>
</file>

<file path=customXml/itemProps3.xml><?xml version="1.0" encoding="utf-8"?>
<ds:datastoreItem xmlns:ds="http://schemas.openxmlformats.org/officeDocument/2006/customXml" ds:itemID="{86E23B50-0FC9-42C1-B862-A8C8C08FBF5E}">
  <ds:schemaRefs/>
</ds:datastoreItem>
</file>

<file path=customXml/itemProps30.xml><?xml version="1.0" encoding="utf-8"?>
<ds:datastoreItem xmlns:ds="http://schemas.openxmlformats.org/officeDocument/2006/customXml" ds:itemID="{CA2EC7E9-D17B-47FB-A89B-AB88068D1C05}">
  <ds:schemaRefs/>
</ds:datastoreItem>
</file>

<file path=customXml/itemProps31.xml><?xml version="1.0" encoding="utf-8"?>
<ds:datastoreItem xmlns:ds="http://schemas.openxmlformats.org/officeDocument/2006/customXml" ds:itemID="{9C9BD1FC-380A-4FFA-B957-35571D09BF17}">
  <ds:schemaRefs/>
</ds:datastoreItem>
</file>

<file path=customXml/itemProps32.xml><?xml version="1.0" encoding="utf-8"?>
<ds:datastoreItem xmlns:ds="http://schemas.openxmlformats.org/officeDocument/2006/customXml" ds:itemID="{621FBCE1-FA68-4990-81C3-141B12FF3C1C}">
  <ds:schemaRefs/>
</ds:datastoreItem>
</file>

<file path=customXml/itemProps33.xml><?xml version="1.0" encoding="utf-8"?>
<ds:datastoreItem xmlns:ds="http://schemas.openxmlformats.org/officeDocument/2006/customXml" ds:itemID="{FA977031-3DDE-4960-A3A4-DCF7BAB300FD}">
  <ds:schemaRefs/>
</ds:datastoreItem>
</file>

<file path=customXml/itemProps34.xml><?xml version="1.0" encoding="utf-8"?>
<ds:datastoreItem xmlns:ds="http://schemas.openxmlformats.org/officeDocument/2006/customXml" ds:itemID="{7663031C-D71A-4169-BB00-823E8059BC54}">
  <ds:schemaRefs/>
</ds:datastoreItem>
</file>

<file path=customXml/itemProps35.xml><?xml version="1.0" encoding="utf-8"?>
<ds:datastoreItem xmlns:ds="http://schemas.openxmlformats.org/officeDocument/2006/customXml" ds:itemID="{4DA77163-E373-4E76-9AB0-FF82CAB19395}">
  <ds:schemaRefs/>
</ds:datastoreItem>
</file>

<file path=customXml/itemProps36.xml><?xml version="1.0" encoding="utf-8"?>
<ds:datastoreItem xmlns:ds="http://schemas.openxmlformats.org/officeDocument/2006/customXml" ds:itemID="{62E87B9D-202D-4157-A517-AA6F883BCDC2}">
  <ds:schemaRefs/>
</ds:datastoreItem>
</file>

<file path=customXml/itemProps37.xml><?xml version="1.0" encoding="utf-8"?>
<ds:datastoreItem xmlns:ds="http://schemas.openxmlformats.org/officeDocument/2006/customXml" ds:itemID="{CBB4719A-62FF-4CE6-BA63-10ED46CD51D8}">
  <ds:schemaRefs/>
</ds:datastoreItem>
</file>

<file path=customXml/itemProps38.xml><?xml version="1.0" encoding="utf-8"?>
<ds:datastoreItem xmlns:ds="http://schemas.openxmlformats.org/officeDocument/2006/customXml" ds:itemID="{0C1F0423-5D0B-40AD-BF24-500F1BE225D6}">
  <ds:schemaRefs/>
</ds:datastoreItem>
</file>

<file path=customXml/itemProps39.xml><?xml version="1.0" encoding="utf-8"?>
<ds:datastoreItem xmlns:ds="http://schemas.openxmlformats.org/officeDocument/2006/customXml" ds:itemID="{8412ABF9-AFAA-4221-9369-11047CCE7ECA}">
  <ds:schemaRefs/>
</ds:datastoreItem>
</file>

<file path=customXml/itemProps4.xml><?xml version="1.0" encoding="utf-8"?>
<ds:datastoreItem xmlns:ds="http://schemas.openxmlformats.org/officeDocument/2006/customXml" ds:itemID="{3DFABED9-ACEC-4131-AA05-97A21103AB5F}">
  <ds:schemaRefs/>
</ds:datastoreItem>
</file>

<file path=customXml/itemProps40.xml><?xml version="1.0" encoding="utf-8"?>
<ds:datastoreItem xmlns:ds="http://schemas.openxmlformats.org/officeDocument/2006/customXml" ds:itemID="{92ACE862-B23A-4C23-85F1-479F594B7208}">
  <ds:schemaRefs/>
</ds:datastoreItem>
</file>

<file path=customXml/itemProps41.xml><?xml version="1.0" encoding="utf-8"?>
<ds:datastoreItem xmlns:ds="http://schemas.openxmlformats.org/officeDocument/2006/customXml" ds:itemID="{855853F3-3884-4021-BECE-2B5A516C9BD5}">
  <ds:schemaRefs/>
</ds:datastoreItem>
</file>

<file path=customXml/itemProps42.xml><?xml version="1.0" encoding="utf-8"?>
<ds:datastoreItem xmlns:ds="http://schemas.openxmlformats.org/officeDocument/2006/customXml" ds:itemID="{43EDB738-F962-461A-8CA7-7047A36D80A0}">
  <ds:schemaRefs/>
</ds:datastoreItem>
</file>

<file path=customXml/itemProps43.xml><?xml version="1.0" encoding="utf-8"?>
<ds:datastoreItem xmlns:ds="http://schemas.openxmlformats.org/officeDocument/2006/customXml" ds:itemID="{CB6947AB-258A-493B-8F07-76B73B147681}">
  <ds:schemaRefs/>
</ds:datastoreItem>
</file>

<file path=customXml/itemProps44.xml><?xml version="1.0" encoding="utf-8"?>
<ds:datastoreItem xmlns:ds="http://schemas.openxmlformats.org/officeDocument/2006/customXml" ds:itemID="{84FA5620-4BAC-4081-B1A5-F3BFE31478CC}">
  <ds:schemaRefs/>
</ds:datastoreItem>
</file>

<file path=customXml/itemProps45.xml><?xml version="1.0" encoding="utf-8"?>
<ds:datastoreItem xmlns:ds="http://schemas.openxmlformats.org/officeDocument/2006/customXml" ds:itemID="{D3F4A52C-61B6-4C64-8414-B74644AB4F02}">
  <ds:schemaRefs/>
</ds:datastoreItem>
</file>

<file path=customXml/itemProps46.xml><?xml version="1.0" encoding="utf-8"?>
<ds:datastoreItem xmlns:ds="http://schemas.openxmlformats.org/officeDocument/2006/customXml" ds:itemID="{F72F776A-546E-4E92-912A-302AA15EE702}">
  <ds:schemaRefs/>
</ds:datastoreItem>
</file>

<file path=customXml/itemProps47.xml><?xml version="1.0" encoding="utf-8"?>
<ds:datastoreItem xmlns:ds="http://schemas.openxmlformats.org/officeDocument/2006/customXml" ds:itemID="{02861635-600D-42F9-AA8D-E0304149F095}">
  <ds:schemaRefs/>
</ds:datastoreItem>
</file>

<file path=customXml/itemProps48.xml><?xml version="1.0" encoding="utf-8"?>
<ds:datastoreItem xmlns:ds="http://schemas.openxmlformats.org/officeDocument/2006/customXml" ds:itemID="{39187127-1762-4E30-9388-6202F67346C9}">
  <ds:schemaRefs>
    <ds:schemaRef ds:uri="http://purl.org/dc/terms/"/>
    <ds:schemaRef ds:uri="http://schemas.microsoft.com/office/2006/documentManagement/types"/>
    <ds:schemaRef ds:uri="http://schemas.microsoft.com/office/infopath/2007/PartnerControls"/>
    <ds:schemaRef ds:uri="http://purl.org/dc/elements/1.1/"/>
    <ds:schemaRef ds:uri="http://schemas.microsoft.com/office/2006/metadata/properties"/>
    <ds:schemaRef ds:uri="47dd78af-cfc5-4e7a-8799-591ad7ced2cf"/>
    <ds:schemaRef ds:uri="http://schemas.openxmlformats.org/package/2006/metadata/core-properties"/>
    <ds:schemaRef ds:uri="91879da0-9969-4788-bbb1-7f1899c198fe"/>
    <ds:schemaRef ds:uri="http://www.w3.org/XML/1998/namespace"/>
    <ds:schemaRef ds:uri="http://purl.org/dc/dcmitype/"/>
  </ds:schemaRefs>
</ds:datastoreItem>
</file>

<file path=customXml/itemProps49.xml><?xml version="1.0" encoding="utf-8"?>
<ds:datastoreItem xmlns:ds="http://schemas.openxmlformats.org/officeDocument/2006/customXml" ds:itemID="{25FE2F68-7D44-4D74-946B-70B40C0FD695}">
  <ds:schemaRefs/>
</ds:datastoreItem>
</file>

<file path=customXml/itemProps5.xml><?xml version="1.0" encoding="utf-8"?>
<ds:datastoreItem xmlns:ds="http://schemas.openxmlformats.org/officeDocument/2006/customXml" ds:itemID="{B286A44D-0D80-4502-99FF-BCBCE05B1ECC}">
  <ds:schemaRefs/>
</ds:datastoreItem>
</file>

<file path=customXml/itemProps50.xml><?xml version="1.0" encoding="utf-8"?>
<ds:datastoreItem xmlns:ds="http://schemas.openxmlformats.org/officeDocument/2006/customXml" ds:itemID="{53EBC557-F6DF-4604-84D2-C78DE6177F62}">
  <ds:schemaRefs/>
</ds:datastoreItem>
</file>

<file path=customXml/itemProps51.xml><?xml version="1.0" encoding="utf-8"?>
<ds:datastoreItem xmlns:ds="http://schemas.openxmlformats.org/officeDocument/2006/customXml" ds:itemID="{3F113054-94B2-4D20-96E2-958EF9DA11F5}">
  <ds:schemaRefs/>
</ds:datastoreItem>
</file>

<file path=customXml/itemProps52.xml><?xml version="1.0" encoding="utf-8"?>
<ds:datastoreItem xmlns:ds="http://schemas.openxmlformats.org/officeDocument/2006/customXml" ds:itemID="{A58DB6FD-6B95-43BD-AA92-BC4BD260F3B2}">
  <ds:schemaRefs/>
</ds:datastoreItem>
</file>

<file path=customXml/itemProps53.xml><?xml version="1.0" encoding="utf-8"?>
<ds:datastoreItem xmlns:ds="http://schemas.openxmlformats.org/officeDocument/2006/customXml" ds:itemID="{2A1D40D2-C955-41F9-B427-71548EF1AD8F}">
  <ds:schemaRefs/>
</ds:datastoreItem>
</file>

<file path=customXml/itemProps54.xml><?xml version="1.0" encoding="utf-8"?>
<ds:datastoreItem xmlns:ds="http://schemas.openxmlformats.org/officeDocument/2006/customXml" ds:itemID="{414B21A0-FEA4-411C-B33A-B8DCC957F82E}">
  <ds:schemaRefs/>
</ds:datastoreItem>
</file>

<file path=customXml/itemProps55.xml><?xml version="1.0" encoding="utf-8"?>
<ds:datastoreItem xmlns:ds="http://schemas.openxmlformats.org/officeDocument/2006/customXml" ds:itemID="{EDBF0907-1BA8-4737-9766-4C4A40495BDB}">
  <ds:schemaRefs/>
</ds:datastoreItem>
</file>

<file path=customXml/itemProps56.xml><?xml version="1.0" encoding="utf-8"?>
<ds:datastoreItem xmlns:ds="http://schemas.openxmlformats.org/officeDocument/2006/customXml" ds:itemID="{881CA47E-9007-4DA8-9F7D-E63D74D505D7}">
  <ds:schemaRefs/>
</ds:datastoreItem>
</file>

<file path=customXml/itemProps57.xml><?xml version="1.0" encoding="utf-8"?>
<ds:datastoreItem xmlns:ds="http://schemas.openxmlformats.org/officeDocument/2006/customXml" ds:itemID="{C2956AE1-A7DF-4D14-959C-5758BC280DA9}">
  <ds:schemaRefs/>
</ds:datastoreItem>
</file>

<file path=customXml/itemProps58.xml><?xml version="1.0" encoding="utf-8"?>
<ds:datastoreItem xmlns:ds="http://schemas.openxmlformats.org/officeDocument/2006/customXml" ds:itemID="{B1D4453D-ADC0-4542-8C5C-99050579852A}">
  <ds:schemaRefs/>
</ds:datastoreItem>
</file>

<file path=customXml/itemProps59.xml><?xml version="1.0" encoding="utf-8"?>
<ds:datastoreItem xmlns:ds="http://schemas.openxmlformats.org/officeDocument/2006/customXml" ds:itemID="{767F5FAD-931C-4324-A5A7-4FF06B136D45}">
  <ds:schemaRefs/>
</ds:datastoreItem>
</file>

<file path=customXml/itemProps6.xml><?xml version="1.0" encoding="utf-8"?>
<ds:datastoreItem xmlns:ds="http://schemas.openxmlformats.org/officeDocument/2006/customXml" ds:itemID="{B9CF4581-35EA-406B-8EFF-966AECC0FB9D}">
  <ds:schemaRefs/>
</ds:datastoreItem>
</file>

<file path=customXml/itemProps60.xml><?xml version="1.0" encoding="utf-8"?>
<ds:datastoreItem xmlns:ds="http://schemas.openxmlformats.org/officeDocument/2006/customXml" ds:itemID="{216E47F5-40B6-4DF9-A0BE-891E9193AFC9}">
  <ds:schemaRefs/>
</ds:datastoreItem>
</file>

<file path=customXml/itemProps61.xml><?xml version="1.0" encoding="utf-8"?>
<ds:datastoreItem xmlns:ds="http://schemas.openxmlformats.org/officeDocument/2006/customXml" ds:itemID="{E129D537-F415-4845-9689-5BEC5CBCD24B}">
  <ds:schemaRefs/>
</ds:datastoreItem>
</file>

<file path=customXml/itemProps62.xml><?xml version="1.0" encoding="utf-8"?>
<ds:datastoreItem xmlns:ds="http://schemas.openxmlformats.org/officeDocument/2006/customXml" ds:itemID="{5F8FB8D9-E3DC-4DF2-B8E8-86C918EC8703}">
  <ds:schemaRefs/>
</ds:datastoreItem>
</file>

<file path=customXml/itemProps63.xml><?xml version="1.0" encoding="utf-8"?>
<ds:datastoreItem xmlns:ds="http://schemas.openxmlformats.org/officeDocument/2006/customXml" ds:itemID="{038B1FA5-37E1-4178-840C-0A3C77ADC4D0}">
  <ds:schemaRefs/>
</ds:datastoreItem>
</file>

<file path=customXml/itemProps64.xml><?xml version="1.0" encoding="utf-8"?>
<ds:datastoreItem xmlns:ds="http://schemas.openxmlformats.org/officeDocument/2006/customXml" ds:itemID="{6C967261-03D3-4378-B87D-A1A295A9557F}">
  <ds:schemaRefs/>
</ds:datastoreItem>
</file>

<file path=customXml/itemProps65.xml><?xml version="1.0" encoding="utf-8"?>
<ds:datastoreItem xmlns:ds="http://schemas.openxmlformats.org/officeDocument/2006/customXml" ds:itemID="{B428D05C-9AB7-4ECB-B0BB-D2B96CE5CA35}">
  <ds:schemaRefs/>
</ds:datastoreItem>
</file>

<file path=customXml/itemProps66.xml><?xml version="1.0" encoding="utf-8"?>
<ds:datastoreItem xmlns:ds="http://schemas.openxmlformats.org/officeDocument/2006/customXml" ds:itemID="{B5C2E387-5EA5-42B5-93EC-D85A326685D7}">
  <ds:schemaRefs/>
</ds:datastoreItem>
</file>

<file path=customXml/itemProps67.xml><?xml version="1.0" encoding="utf-8"?>
<ds:datastoreItem xmlns:ds="http://schemas.openxmlformats.org/officeDocument/2006/customXml" ds:itemID="{5FA41800-C289-4B82-95B3-2814B1F0A623}">
  <ds:schemaRefs/>
</ds:datastoreItem>
</file>

<file path=customXml/itemProps68.xml><?xml version="1.0" encoding="utf-8"?>
<ds:datastoreItem xmlns:ds="http://schemas.openxmlformats.org/officeDocument/2006/customXml" ds:itemID="{2DAFAB23-7EB1-4658-9B6A-40B596A3791D}">
  <ds:schemaRefs/>
</ds:datastoreItem>
</file>

<file path=customXml/itemProps69.xml><?xml version="1.0" encoding="utf-8"?>
<ds:datastoreItem xmlns:ds="http://schemas.openxmlformats.org/officeDocument/2006/customXml" ds:itemID="{171E5AEC-F308-49B9-8466-77141A8BE55A}">
  <ds:schemaRefs/>
</ds:datastoreItem>
</file>

<file path=customXml/itemProps7.xml><?xml version="1.0" encoding="utf-8"?>
<ds:datastoreItem xmlns:ds="http://schemas.openxmlformats.org/officeDocument/2006/customXml" ds:itemID="{EEA3271A-2C2B-480D-A3BB-F9E1F97218CA}">
  <ds:schemaRefs/>
</ds:datastoreItem>
</file>

<file path=customXml/itemProps70.xml><?xml version="1.0" encoding="utf-8"?>
<ds:datastoreItem xmlns:ds="http://schemas.openxmlformats.org/officeDocument/2006/customXml" ds:itemID="{4CCFE4B8-B586-45DA-88CB-EC90B442D6A3}">
  <ds:schemaRefs/>
</ds:datastoreItem>
</file>

<file path=customXml/itemProps71.xml><?xml version="1.0" encoding="utf-8"?>
<ds:datastoreItem xmlns:ds="http://schemas.openxmlformats.org/officeDocument/2006/customXml" ds:itemID="{9187B132-2414-4E6E-BBBF-7D189E6D3E3E}">
  <ds:schemaRefs>
    <ds:schemaRef ds:uri="http://schemas.microsoft.com/sharepoint/v3/contenttype/forms"/>
  </ds:schemaRefs>
</ds:datastoreItem>
</file>

<file path=customXml/itemProps72.xml><?xml version="1.0" encoding="utf-8"?>
<ds:datastoreItem xmlns:ds="http://schemas.openxmlformats.org/officeDocument/2006/customXml" ds:itemID="{FEB39963-A5FA-458D-B7EE-6233DF50B569}">
  <ds:schemaRefs/>
</ds:datastoreItem>
</file>

<file path=customXml/itemProps73.xml><?xml version="1.0" encoding="utf-8"?>
<ds:datastoreItem xmlns:ds="http://schemas.openxmlformats.org/officeDocument/2006/customXml" ds:itemID="{8056E87A-E3A9-42E3-8A4F-9CE22D40102B}">
  <ds:schemaRefs/>
</ds:datastoreItem>
</file>

<file path=customXml/itemProps74.xml><?xml version="1.0" encoding="utf-8"?>
<ds:datastoreItem xmlns:ds="http://schemas.openxmlformats.org/officeDocument/2006/customXml" ds:itemID="{22E12C5F-18BE-4256-A755-1900869F9BD9}">
  <ds:schemaRefs/>
</ds:datastoreItem>
</file>

<file path=customXml/itemProps75.xml><?xml version="1.0" encoding="utf-8"?>
<ds:datastoreItem xmlns:ds="http://schemas.openxmlformats.org/officeDocument/2006/customXml" ds:itemID="{0E5A9411-638E-4F02-B826-0F97C7B19CFA}">
  <ds:schemaRefs/>
</ds:datastoreItem>
</file>

<file path=customXml/itemProps76.xml><?xml version="1.0" encoding="utf-8"?>
<ds:datastoreItem xmlns:ds="http://schemas.openxmlformats.org/officeDocument/2006/customXml" ds:itemID="{3F8D2305-F591-4A77-84ED-B296DE1809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7dd78af-cfc5-4e7a-8799-591ad7ced2cf"/>
    <ds:schemaRef ds:uri="91879da0-9969-4788-bbb1-7f1899c198f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77.xml><?xml version="1.0" encoding="utf-8"?>
<ds:datastoreItem xmlns:ds="http://schemas.openxmlformats.org/officeDocument/2006/customXml" ds:itemID="{D2DCA095-1161-427F-B89C-A779E1224392}">
  <ds:schemaRefs/>
</ds:datastoreItem>
</file>

<file path=customXml/itemProps8.xml><?xml version="1.0" encoding="utf-8"?>
<ds:datastoreItem xmlns:ds="http://schemas.openxmlformats.org/officeDocument/2006/customXml" ds:itemID="{A57F48E8-6E6B-458E-B156-2E5413BA832C}">
  <ds:schemaRefs/>
</ds:datastoreItem>
</file>

<file path=customXml/itemProps9.xml><?xml version="1.0" encoding="utf-8"?>
<ds:datastoreItem xmlns:ds="http://schemas.openxmlformats.org/officeDocument/2006/customXml" ds:itemID="{274B6DFD-3C67-4831-A7F7-A88920E525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Summary</vt:lpstr>
      <vt:lpstr>A&amp;E diverts</vt:lpstr>
      <vt:lpstr>G&amp;A bed avail.</vt:lpstr>
      <vt:lpstr>G&amp;A bed occ.</vt:lpstr>
      <vt:lpstr>Long stay</vt:lpstr>
      <vt:lpstr>D&amp;V</vt:lpstr>
      <vt:lpstr>Sheet5</vt:lpstr>
      <vt:lpstr>Critical care</vt:lpstr>
      <vt:lpstr>PICU</vt:lpstr>
      <vt:lpstr>NICU</vt:lpstr>
      <vt:lpstr>Ambulance</vt:lpstr>
      <vt:lpstr>Sheet1</vt:lpstr>
      <vt:lpstr>Sheet2</vt:lpstr>
      <vt:lpstr>Sheet3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Deborah Gulliver</dc:creator>
  <cp:lastModifiedBy>Kehinde Oladimeji</cp:lastModifiedBy>
  <cp:lastPrinted>2017-12-11T11:22:53Z</cp:lastPrinted>
  <dcterms:created xsi:type="dcterms:W3CDTF">2017-12-11T11:20:09Z</dcterms:created>
  <dcterms:modified xsi:type="dcterms:W3CDTF">2021-03-04T11:48:37Z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0x01010036361F09B21A804F824D0804817B9451</vt:lpwstr>
  </property>
  <property fmtid="{D5CDD505-2E9C-101B-9397-08002B2CF9AE}" pid="3" name="Order">
    <vt:r8>3064800</vt:r8>
  </property>
</Properties>
</file>